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1511_Lohnverrechnung\Texte\2025\Zeitkarten 2025\38 Wochenstunden\"/>
    </mc:Choice>
  </mc:AlternateContent>
  <xr:revisionPtr revIDLastSave="0" documentId="13_ncr:1_{70654D2F-CFA5-4070-9838-19C34DD21C2E}" xr6:coauthVersionLast="47" xr6:coauthVersionMax="47" xr10:uidLastSave="{00000000-0000-0000-0000-000000000000}"/>
  <bookViews>
    <workbookView xWindow="-120" yWindow="-120" windowWidth="23280" windowHeight="12600" tabRatio="897" activeTab="14" xr2:uid="{00000000-000D-0000-FFFF-FFFF00000000}"/>
  </bookViews>
  <sheets>
    <sheet name="Datenblatt" sheetId="1" r:id="rId1"/>
    <sheet name="Urlaubsmeldung" sheetId="3" r:id="rId2"/>
    <sheet name="Jän" sheetId="4" r:id="rId3"/>
    <sheet name="Feb" sheetId="5" r:id="rId4"/>
    <sheet name="März" sheetId="6" r:id="rId5"/>
    <sheet name="April" sheetId="7" r:id="rId6"/>
    <sheet name="Mai" sheetId="8" r:id="rId7"/>
    <sheet name="Juni" sheetId="9" r:id="rId8"/>
    <sheet name="Juli" sheetId="10" r:id="rId9"/>
    <sheet name="Aug" sheetId="11" r:id="rId10"/>
    <sheet name="Sept" sheetId="12" r:id="rId11"/>
    <sheet name="Okt" sheetId="13" r:id="rId12"/>
    <sheet name="Nov" sheetId="14" r:id="rId13"/>
    <sheet name="Dez" sheetId="15" r:id="rId14"/>
    <sheet name="REISERECHNUNG" sheetId="16" r:id="rId15"/>
    <sheet name="Jahresübersicht" sheetId="17" r:id="rId16"/>
  </sheets>
  <definedNames>
    <definedName name="_xlnm.Print_Area" localSheetId="14">REISERECHNUNG!$A$1:$O$36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4" l="1"/>
  <c r="Y46" i="5"/>
  <c r="Y46" i="6"/>
  <c r="Y46" i="7"/>
  <c r="Y46" i="8"/>
  <c r="Y46" i="9"/>
  <c r="Y46" i="10"/>
  <c r="Y46" i="11"/>
  <c r="Y46" i="13"/>
  <c r="Y46" i="14"/>
  <c r="Y46" i="15"/>
  <c r="Y46" i="12"/>
  <c r="X46" i="4"/>
  <c r="X46" i="5"/>
  <c r="X46" i="6"/>
  <c r="X46" i="7"/>
  <c r="X46" i="8"/>
  <c r="X46" i="9"/>
  <c r="X46" i="10"/>
  <c r="X46" i="11"/>
  <c r="X46" i="13"/>
  <c r="X46" i="14"/>
  <c r="X46" i="15"/>
  <c r="X46" i="12"/>
  <c r="K6" i="16"/>
  <c r="K33" i="1"/>
  <c r="N33" i="1"/>
  <c r="Q33" i="1"/>
  <c r="T33" i="1"/>
  <c r="W33" i="1"/>
  <c r="Z33" i="1"/>
  <c r="K46" i="1"/>
  <c r="N46" i="1"/>
  <c r="Q46" i="1"/>
  <c r="T46" i="1"/>
  <c r="K34" i="1"/>
  <c r="N34" i="1"/>
  <c r="Q34" i="1"/>
  <c r="T34" i="1"/>
  <c r="W34" i="1"/>
  <c r="Z34" i="1"/>
  <c r="K47" i="1"/>
  <c r="N47" i="1"/>
  <c r="Q47" i="1"/>
  <c r="T47" i="1"/>
  <c r="K35" i="1"/>
  <c r="N35" i="1"/>
  <c r="Q35" i="1"/>
  <c r="T35" i="1"/>
  <c r="W35" i="1"/>
  <c r="Z35" i="1"/>
  <c r="K48" i="1"/>
  <c r="N48" i="1"/>
  <c r="Q48" i="1"/>
  <c r="T48" i="1"/>
  <c r="K36" i="1"/>
  <c r="N36" i="1"/>
  <c r="Q36" i="1"/>
  <c r="T36" i="1"/>
  <c r="W36" i="1"/>
  <c r="Z36" i="1"/>
  <c r="K49" i="1"/>
  <c r="N49" i="1"/>
  <c r="Q49" i="1"/>
  <c r="T49" i="1"/>
  <c r="K37" i="1"/>
  <c r="N37" i="1"/>
  <c r="Q37" i="1"/>
  <c r="T37" i="1"/>
  <c r="W37" i="1"/>
  <c r="Z37" i="1"/>
  <c r="K50" i="1"/>
  <c r="N50" i="1"/>
  <c r="Q50" i="1"/>
  <c r="T50" i="1"/>
  <c r="W46" i="1"/>
  <c r="Z46" i="1"/>
  <c r="L2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F71" i="1"/>
  <c r="F74" i="1"/>
  <c r="F72" i="1"/>
  <c r="F73" i="1"/>
  <c r="F75" i="1"/>
  <c r="F76" i="1"/>
  <c r="F80" i="1"/>
  <c r="F79" i="1"/>
  <c r="F83" i="1"/>
  <c r="F86" i="1"/>
  <c r="A48" i="1"/>
  <c r="A54" i="1"/>
  <c r="A60" i="1"/>
  <c r="A61" i="1"/>
  <c r="A43" i="1"/>
  <c r="A44" i="1"/>
  <c r="A45" i="1"/>
  <c r="A46" i="1"/>
  <c r="A49" i="1"/>
  <c r="A50" i="1"/>
  <c r="A51" i="1"/>
  <c r="A52" i="1"/>
  <c r="A53" i="1"/>
  <c r="A55" i="1"/>
  <c r="A56" i="1"/>
  <c r="A57" i="1"/>
  <c r="A58" i="1"/>
  <c r="A59" i="1"/>
  <c r="A62" i="1"/>
  <c r="A63" i="1"/>
  <c r="A64" i="1"/>
  <c r="A65" i="1"/>
  <c r="K39" i="1"/>
  <c r="N39" i="1"/>
  <c r="Q39" i="1"/>
  <c r="T39" i="1"/>
  <c r="W39" i="1"/>
  <c r="Z39" i="1"/>
  <c r="K52" i="1"/>
  <c r="N52" i="1"/>
  <c r="Q52" i="1"/>
  <c r="T52" i="1"/>
  <c r="W52" i="1"/>
  <c r="Z52" i="1"/>
  <c r="D39" i="15"/>
  <c r="K38" i="1"/>
  <c r="N38" i="1"/>
  <c r="Q38" i="1"/>
  <c r="T38" i="1"/>
  <c r="W38" i="1"/>
  <c r="Z38" i="1"/>
  <c r="K51" i="1"/>
  <c r="N51" i="1"/>
  <c r="Q51" i="1"/>
  <c r="T51" i="1"/>
  <c r="W51" i="1"/>
  <c r="Z51" i="1"/>
  <c r="D38" i="15"/>
  <c r="W50" i="1"/>
  <c r="Z50" i="1"/>
  <c r="D37" i="15"/>
  <c r="W49" i="1"/>
  <c r="Z49" i="1"/>
  <c r="D36" i="15"/>
  <c r="W48" i="1"/>
  <c r="Z48" i="1"/>
  <c r="D35" i="15"/>
  <c r="D34" i="15"/>
  <c r="D33" i="15"/>
  <c r="D32" i="15"/>
  <c r="D31" i="15"/>
  <c r="D30" i="15"/>
  <c r="D29" i="15"/>
  <c r="D28" i="15"/>
  <c r="W47" i="1"/>
  <c r="Z47" i="1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L2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L2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L2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L2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L2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L2" i="9"/>
  <c r="B9" i="9"/>
  <c r="B10" i="9"/>
  <c r="D10" i="9"/>
  <c r="B11" i="9"/>
  <c r="D11" i="9"/>
  <c r="B12" i="9"/>
  <c r="D12" i="9"/>
  <c r="B13" i="9"/>
  <c r="D13" i="9"/>
  <c r="B14" i="9"/>
  <c r="D14" i="9"/>
  <c r="B15" i="9"/>
  <c r="D15" i="9"/>
  <c r="B16" i="9"/>
  <c r="D16" i="9"/>
  <c r="B17" i="9"/>
  <c r="D17" i="9"/>
  <c r="B18" i="9"/>
  <c r="D18" i="9"/>
  <c r="B19" i="9"/>
  <c r="D19" i="9"/>
  <c r="B20" i="9"/>
  <c r="D20" i="9"/>
  <c r="B21" i="9"/>
  <c r="D21" i="9"/>
  <c r="B22" i="9"/>
  <c r="D22" i="9"/>
  <c r="B23" i="9"/>
  <c r="D23" i="9"/>
  <c r="B24" i="9"/>
  <c r="D24" i="9"/>
  <c r="B25" i="9"/>
  <c r="D25" i="9"/>
  <c r="B26" i="9"/>
  <c r="D26" i="9"/>
  <c r="B27" i="9"/>
  <c r="D27" i="9"/>
  <c r="B28" i="9"/>
  <c r="D28" i="9"/>
  <c r="B29" i="9"/>
  <c r="D29" i="9"/>
  <c r="B30" i="9"/>
  <c r="D30" i="9"/>
  <c r="B31" i="9"/>
  <c r="D31" i="9"/>
  <c r="B32" i="9"/>
  <c r="D32" i="9"/>
  <c r="B33" i="9"/>
  <c r="D33" i="9"/>
  <c r="B34" i="9"/>
  <c r="D34" i="9"/>
  <c r="B35" i="9"/>
  <c r="D35" i="9"/>
  <c r="B36" i="9"/>
  <c r="D36" i="9"/>
  <c r="B37" i="9"/>
  <c r="D37" i="9"/>
  <c r="B38" i="9"/>
  <c r="D38" i="9"/>
  <c r="D9" i="9"/>
  <c r="L2" i="8"/>
  <c r="B9" i="8"/>
  <c r="B10" i="8"/>
  <c r="D10" i="8"/>
  <c r="B11" i="8"/>
  <c r="D11" i="8"/>
  <c r="B12" i="8"/>
  <c r="D12" i="8"/>
  <c r="B13" i="8"/>
  <c r="D13" i="8"/>
  <c r="B14" i="8"/>
  <c r="D14" i="8"/>
  <c r="B15" i="8"/>
  <c r="D15" i="8"/>
  <c r="B16" i="8"/>
  <c r="D16" i="8"/>
  <c r="B17" i="8"/>
  <c r="D17" i="8"/>
  <c r="B18" i="8"/>
  <c r="D18" i="8"/>
  <c r="B19" i="8"/>
  <c r="D19" i="8"/>
  <c r="B20" i="8"/>
  <c r="D20" i="8"/>
  <c r="B21" i="8"/>
  <c r="D21" i="8"/>
  <c r="B22" i="8"/>
  <c r="D22" i="8"/>
  <c r="B23" i="8"/>
  <c r="D23" i="8"/>
  <c r="B24" i="8"/>
  <c r="D24" i="8"/>
  <c r="B25" i="8"/>
  <c r="D25" i="8"/>
  <c r="B26" i="8"/>
  <c r="D26" i="8"/>
  <c r="B27" i="8"/>
  <c r="D27" i="8"/>
  <c r="B28" i="8"/>
  <c r="D28" i="8"/>
  <c r="B29" i="8"/>
  <c r="D29" i="8"/>
  <c r="B30" i="8"/>
  <c r="D30" i="8"/>
  <c r="B31" i="8"/>
  <c r="D31" i="8"/>
  <c r="B32" i="8"/>
  <c r="D32" i="8"/>
  <c r="B33" i="8"/>
  <c r="D33" i="8"/>
  <c r="B34" i="8"/>
  <c r="D34" i="8"/>
  <c r="B35" i="8"/>
  <c r="D35" i="8"/>
  <c r="B36" i="8"/>
  <c r="D36" i="8"/>
  <c r="B37" i="8"/>
  <c r="D37" i="8"/>
  <c r="B38" i="8"/>
  <c r="D38" i="8"/>
  <c r="B39" i="8"/>
  <c r="D39" i="8"/>
  <c r="D9" i="8"/>
  <c r="L2" i="7"/>
  <c r="B9" i="7"/>
  <c r="B10" i="7"/>
  <c r="D10" i="7"/>
  <c r="B11" i="7"/>
  <c r="D11" i="7"/>
  <c r="B12" i="7"/>
  <c r="D12" i="7"/>
  <c r="B13" i="7"/>
  <c r="D13" i="7"/>
  <c r="B14" i="7"/>
  <c r="D14" i="7"/>
  <c r="B15" i="7"/>
  <c r="D15" i="7"/>
  <c r="B16" i="7"/>
  <c r="D16" i="7"/>
  <c r="B17" i="7"/>
  <c r="D17" i="7"/>
  <c r="B18" i="7"/>
  <c r="D18" i="7"/>
  <c r="B19" i="7"/>
  <c r="D19" i="7"/>
  <c r="B20" i="7"/>
  <c r="D20" i="7"/>
  <c r="B21" i="7"/>
  <c r="D21" i="7"/>
  <c r="B22" i="7"/>
  <c r="D22" i="7"/>
  <c r="B23" i="7"/>
  <c r="D23" i="7"/>
  <c r="B24" i="7"/>
  <c r="D24" i="7"/>
  <c r="B25" i="7"/>
  <c r="D25" i="7"/>
  <c r="B26" i="7"/>
  <c r="D26" i="7"/>
  <c r="B27" i="7"/>
  <c r="D27" i="7"/>
  <c r="B28" i="7"/>
  <c r="D28" i="7"/>
  <c r="B29" i="7"/>
  <c r="D29" i="7"/>
  <c r="B30" i="7"/>
  <c r="D30" i="7"/>
  <c r="B31" i="7"/>
  <c r="D31" i="7"/>
  <c r="B32" i="7"/>
  <c r="D32" i="7"/>
  <c r="B33" i="7"/>
  <c r="D33" i="7"/>
  <c r="B34" i="7"/>
  <c r="D34" i="7"/>
  <c r="B35" i="7"/>
  <c r="D35" i="7"/>
  <c r="B36" i="7"/>
  <c r="D36" i="7"/>
  <c r="B37" i="7"/>
  <c r="D37" i="7"/>
  <c r="B38" i="7"/>
  <c r="D38" i="7"/>
  <c r="D9" i="7"/>
  <c r="L2" i="6"/>
  <c r="B9" i="6"/>
  <c r="B10" i="6"/>
  <c r="D10" i="6"/>
  <c r="B11" i="6"/>
  <c r="D11" i="6"/>
  <c r="B12" i="6"/>
  <c r="D12" i="6"/>
  <c r="B13" i="6"/>
  <c r="D13" i="6"/>
  <c r="B14" i="6"/>
  <c r="D14" i="6"/>
  <c r="B15" i="6"/>
  <c r="D15" i="6"/>
  <c r="B16" i="6"/>
  <c r="D16" i="6"/>
  <c r="B17" i="6"/>
  <c r="D17" i="6"/>
  <c r="B18" i="6"/>
  <c r="D18" i="6"/>
  <c r="B19" i="6"/>
  <c r="D19" i="6"/>
  <c r="B20" i="6"/>
  <c r="D20" i="6"/>
  <c r="B21" i="6"/>
  <c r="D21" i="6"/>
  <c r="B22" i="6"/>
  <c r="D22" i="6"/>
  <c r="B23" i="6"/>
  <c r="D23" i="6"/>
  <c r="B24" i="6"/>
  <c r="D24" i="6"/>
  <c r="B25" i="6"/>
  <c r="D25" i="6"/>
  <c r="B26" i="6"/>
  <c r="D26" i="6"/>
  <c r="B27" i="6"/>
  <c r="D27" i="6"/>
  <c r="B28" i="6"/>
  <c r="D28" i="6"/>
  <c r="B29" i="6"/>
  <c r="D29" i="6"/>
  <c r="B30" i="6"/>
  <c r="D30" i="6"/>
  <c r="B31" i="6"/>
  <c r="D31" i="6"/>
  <c r="B32" i="6"/>
  <c r="D32" i="6"/>
  <c r="B33" i="6"/>
  <c r="D33" i="6"/>
  <c r="B34" i="6"/>
  <c r="D34" i="6"/>
  <c r="B35" i="6"/>
  <c r="D35" i="6"/>
  <c r="B36" i="6"/>
  <c r="D36" i="6"/>
  <c r="B37" i="6"/>
  <c r="D37" i="6"/>
  <c r="B38" i="6"/>
  <c r="D38" i="6"/>
  <c r="B39" i="6"/>
  <c r="D39" i="6"/>
  <c r="D9" i="6"/>
  <c r="L2" i="5"/>
  <c r="B9" i="5"/>
  <c r="B10" i="5"/>
  <c r="D10" i="5"/>
  <c r="B11" i="5"/>
  <c r="D11" i="5"/>
  <c r="B12" i="5"/>
  <c r="D12" i="5"/>
  <c r="B13" i="5"/>
  <c r="D13" i="5"/>
  <c r="B14" i="5"/>
  <c r="D14" i="5"/>
  <c r="B15" i="5"/>
  <c r="D15" i="5"/>
  <c r="B16" i="5"/>
  <c r="D16" i="5"/>
  <c r="B17" i="5"/>
  <c r="D17" i="5"/>
  <c r="B18" i="5"/>
  <c r="D18" i="5"/>
  <c r="B19" i="5"/>
  <c r="D19" i="5"/>
  <c r="B20" i="5"/>
  <c r="D20" i="5"/>
  <c r="B21" i="5"/>
  <c r="D21" i="5"/>
  <c r="B22" i="5"/>
  <c r="D22" i="5"/>
  <c r="B23" i="5"/>
  <c r="D23" i="5"/>
  <c r="B24" i="5"/>
  <c r="D24" i="5"/>
  <c r="B25" i="5"/>
  <c r="D25" i="5"/>
  <c r="B26" i="5"/>
  <c r="D26" i="5"/>
  <c r="B27" i="5"/>
  <c r="D27" i="5"/>
  <c r="B28" i="5"/>
  <c r="D28" i="5"/>
  <c r="B29" i="5"/>
  <c r="D29" i="5"/>
  <c r="B30" i="5"/>
  <c r="D30" i="5"/>
  <c r="B31" i="5"/>
  <c r="D31" i="5"/>
  <c r="B32" i="5"/>
  <c r="D32" i="5"/>
  <c r="B33" i="5"/>
  <c r="D33" i="5"/>
  <c r="B34" i="5"/>
  <c r="D34" i="5"/>
  <c r="B35" i="5"/>
  <c r="D35" i="5"/>
  <c r="B36" i="5"/>
  <c r="D36" i="5"/>
  <c r="D9" i="5"/>
  <c r="D11" i="1"/>
  <c r="U4" i="4"/>
  <c r="Q40" i="4"/>
  <c r="U5" i="4"/>
  <c r="U4" i="5"/>
  <c r="Q40" i="5"/>
  <c r="U5" i="5"/>
  <c r="U4" i="6"/>
  <c r="Q40" i="6"/>
  <c r="U5" i="6"/>
  <c r="U4" i="7"/>
  <c r="Q40" i="7"/>
  <c r="U5" i="7"/>
  <c r="U4" i="8"/>
  <c r="Q40" i="8"/>
  <c r="U5" i="8"/>
  <c r="U4" i="9"/>
  <c r="A38" i="1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R10" i="15"/>
  <c r="U10" i="15"/>
  <c r="T10" i="15"/>
  <c r="R11" i="15"/>
  <c r="U11" i="15"/>
  <c r="T11" i="15"/>
  <c r="R12" i="15"/>
  <c r="U12" i="15"/>
  <c r="T12" i="15"/>
  <c r="R13" i="15"/>
  <c r="U13" i="15"/>
  <c r="T13" i="15"/>
  <c r="R14" i="15"/>
  <c r="U14" i="15"/>
  <c r="T14" i="15"/>
  <c r="R15" i="15"/>
  <c r="U15" i="15"/>
  <c r="T15" i="15"/>
  <c r="R16" i="15"/>
  <c r="U16" i="15"/>
  <c r="T16" i="15"/>
  <c r="R17" i="15"/>
  <c r="U17" i="15"/>
  <c r="T17" i="15"/>
  <c r="R18" i="15"/>
  <c r="U18" i="15"/>
  <c r="T18" i="15"/>
  <c r="R19" i="15"/>
  <c r="U19" i="15"/>
  <c r="T19" i="15"/>
  <c r="R20" i="15"/>
  <c r="U20" i="15"/>
  <c r="T20" i="15"/>
  <c r="R21" i="15"/>
  <c r="U21" i="15"/>
  <c r="T21" i="15"/>
  <c r="R22" i="15"/>
  <c r="U22" i="15"/>
  <c r="T22" i="15"/>
  <c r="R23" i="15"/>
  <c r="U23" i="15"/>
  <c r="T23" i="15"/>
  <c r="R24" i="15"/>
  <c r="U24" i="15"/>
  <c r="T24" i="15"/>
  <c r="R25" i="15"/>
  <c r="U25" i="15"/>
  <c r="T25" i="15"/>
  <c r="R26" i="15"/>
  <c r="U26" i="15"/>
  <c r="T26" i="15"/>
  <c r="R27" i="15"/>
  <c r="U27" i="15"/>
  <c r="T27" i="15"/>
  <c r="R28" i="15"/>
  <c r="U28" i="15"/>
  <c r="T28" i="15"/>
  <c r="R29" i="15"/>
  <c r="U29" i="15"/>
  <c r="T29" i="15"/>
  <c r="R30" i="15"/>
  <c r="U30" i="15"/>
  <c r="T30" i="15"/>
  <c r="R31" i="15"/>
  <c r="U31" i="15"/>
  <c r="T31" i="15"/>
  <c r="R32" i="15"/>
  <c r="U32" i="15"/>
  <c r="T32" i="15"/>
  <c r="R33" i="15"/>
  <c r="U33" i="15"/>
  <c r="T33" i="15"/>
  <c r="R34" i="15"/>
  <c r="U34" i="15"/>
  <c r="T34" i="15"/>
  <c r="R35" i="15"/>
  <c r="U35" i="15"/>
  <c r="T35" i="15"/>
  <c r="R36" i="15"/>
  <c r="U36" i="15"/>
  <c r="T36" i="15"/>
  <c r="R37" i="15"/>
  <c r="U37" i="15"/>
  <c r="T37" i="15"/>
  <c r="R38" i="15"/>
  <c r="U38" i="15"/>
  <c r="T38" i="15"/>
  <c r="R39" i="15"/>
  <c r="U39" i="15"/>
  <c r="T39" i="15"/>
  <c r="R9" i="15"/>
  <c r="U9" i="15"/>
  <c r="T9" i="15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40" i="14"/>
  <c r="R10" i="14"/>
  <c r="U10" i="14"/>
  <c r="T10" i="14"/>
  <c r="R11" i="14"/>
  <c r="U11" i="14"/>
  <c r="T11" i="14"/>
  <c r="R12" i="14"/>
  <c r="U12" i="14"/>
  <c r="T12" i="14"/>
  <c r="R13" i="14"/>
  <c r="U13" i="14"/>
  <c r="T13" i="14"/>
  <c r="R14" i="14"/>
  <c r="U14" i="14"/>
  <c r="T14" i="14"/>
  <c r="R15" i="14"/>
  <c r="U15" i="14"/>
  <c r="T15" i="14"/>
  <c r="R16" i="14"/>
  <c r="U16" i="14"/>
  <c r="T16" i="14"/>
  <c r="R17" i="14"/>
  <c r="U17" i="14"/>
  <c r="T17" i="14"/>
  <c r="R18" i="14"/>
  <c r="U18" i="14"/>
  <c r="T18" i="14"/>
  <c r="R19" i="14"/>
  <c r="U19" i="14"/>
  <c r="T19" i="14"/>
  <c r="R20" i="14"/>
  <c r="U20" i="14"/>
  <c r="T20" i="14"/>
  <c r="R21" i="14"/>
  <c r="U21" i="14"/>
  <c r="T21" i="14"/>
  <c r="R22" i="14"/>
  <c r="U22" i="14"/>
  <c r="T22" i="14"/>
  <c r="R23" i="14"/>
  <c r="U23" i="14"/>
  <c r="T23" i="14"/>
  <c r="R24" i="14"/>
  <c r="U24" i="14"/>
  <c r="T24" i="14"/>
  <c r="R25" i="14"/>
  <c r="U25" i="14"/>
  <c r="T25" i="14"/>
  <c r="R26" i="14"/>
  <c r="U26" i="14"/>
  <c r="T26" i="14"/>
  <c r="R27" i="14"/>
  <c r="U27" i="14"/>
  <c r="T27" i="14"/>
  <c r="R28" i="14"/>
  <c r="U28" i="14"/>
  <c r="T28" i="14"/>
  <c r="R29" i="14"/>
  <c r="U29" i="14"/>
  <c r="T29" i="14"/>
  <c r="R30" i="14"/>
  <c r="U30" i="14"/>
  <c r="T30" i="14"/>
  <c r="R31" i="14"/>
  <c r="U31" i="14"/>
  <c r="T31" i="14"/>
  <c r="R32" i="14"/>
  <c r="U32" i="14"/>
  <c r="T32" i="14"/>
  <c r="R33" i="14"/>
  <c r="U33" i="14"/>
  <c r="T33" i="14"/>
  <c r="R34" i="14"/>
  <c r="U34" i="14"/>
  <c r="T34" i="14"/>
  <c r="R35" i="14"/>
  <c r="U35" i="14"/>
  <c r="T35" i="14"/>
  <c r="R36" i="14"/>
  <c r="U36" i="14"/>
  <c r="T36" i="14"/>
  <c r="R37" i="14"/>
  <c r="U37" i="14"/>
  <c r="T37" i="14"/>
  <c r="R38" i="14"/>
  <c r="U38" i="14"/>
  <c r="T38" i="14"/>
  <c r="R9" i="14"/>
  <c r="U9" i="14"/>
  <c r="T9" i="14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R10" i="13"/>
  <c r="U10" i="13"/>
  <c r="T10" i="13"/>
  <c r="R11" i="13"/>
  <c r="U11" i="13"/>
  <c r="T11" i="13"/>
  <c r="R12" i="13"/>
  <c r="U12" i="13"/>
  <c r="T12" i="13"/>
  <c r="R13" i="13"/>
  <c r="U13" i="13"/>
  <c r="T13" i="13"/>
  <c r="R14" i="13"/>
  <c r="U14" i="13"/>
  <c r="T14" i="13"/>
  <c r="R15" i="13"/>
  <c r="U15" i="13"/>
  <c r="T15" i="13"/>
  <c r="R16" i="13"/>
  <c r="U16" i="13"/>
  <c r="T16" i="13"/>
  <c r="R17" i="13"/>
  <c r="U17" i="13"/>
  <c r="T17" i="13"/>
  <c r="R18" i="13"/>
  <c r="U18" i="13"/>
  <c r="T18" i="13"/>
  <c r="R19" i="13"/>
  <c r="U19" i="13"/>
  <c r="T19" i="13"/>
  <c r="R20" i="13"/>
  <c r="U20" i="13"/>
  <c r="T20" i="13"/>
  <c r="R21" i="13"/>
  <c r="U21" i="13"/>
  <c r="T21" i="13"/>
  <c r="R22" i="13"/>
  <c r="U22" i="13"/>
  <c r="T22" i="13"/>
  <c r="R23" i="13"/>
  <c r="U23" i="13"/>
  <c r="T23" i="13"/>
  <c r="R24" i="13"/>
  <c r="U24" i="13"/>
  <c r="T24" i="13"/>
  <c r="R25" i="13"/>
  <c r="U25" i="13"/>
  <c r="T25" i="13"/>
  <c r="R26" i="13"/>
  <c r="U26" i="13"/>
  <c r="T26" i="13"/>
  <c r="R27" i="13"/>
  <c r="U27" i="13"/>
  <c r="T27" i="13"/>
  <c r="R28" i="13"/>
  <c r="U28" i="13"/>
  <c r="T28" i="13"/>
  <c r="R29" i="13"/>
  <c r="U29" i="13"/>
  <c r="T29" i="13"/>
  <c r="R30" i="13"/>
  <c r="U30" i="13"/>
  <c r="T30" i="13"/>
  <c r="R31" i="13"/>
  <c r="U31" i="13"/>
  <c r="T31" i="13"/>
  <c r="R32" i="13"/>
  <c r="U32" i="13"/>
  <c r="T32" i="13"/>
  <c r="R33" i="13"/>
  <c r="U33" i="13"/>
  <c r="T33" i="13"/>
  <c r="R34" i="13"/>
  <c r="U34" i="13"/>
  <c r="T34" i="13"/>
  <c r="R35" i="13"/>
  <c r="U35" i="13"/>
  <c r="T35" i="13"/>
  <c r="R36" i="13"/>
  <c r="U36" i="13"/>
  <c r="T36" i="13"/>
  <c r="R37" i="13"/>
  <c r="U37" i="13"/>
  <c r="T37" i="13"/>
  <c r="R38" i="13"/>
  <c r="U38" i="13"/>
  <c r="T38" i="13"/>
  <c r="R39" i="13"/>
  <c r="U39" i="13"/>
  <c r="T39" i="13"/>
  <c r="R9" i="13"/>
  <c r="U9" i="13"/>
  <c r="T9" i="13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40" i="12"/>
  <c r="R10" i="12"/>
  <c r="U10" i="12"/>
  <c r="T10" i="12"/>
  <c r="R11" i="12"/>
  <c r="U11" i="12"/>
  <c r="T11" i="12"/>
  <c r="R12" i="12"/>
  <c r="U12" i="12"/>
  <c r="T12" i="12"/>
  <c r="R13" i="12"/>
  <c r="U13" i="12"/>
  <c r="T13" i="12"/>
  <c r="R14" i="12"/>
  <c r="U14" i="12"/>
  <c r="T14" i="12"/>
  <c r="R15" i="12"/>
  <c r="U15" i="12"/>
  <c r="T15" i="12"/>
  <c r="R16" i="12"/>
  <c r="U16" i="12"/>
  <c r="T16" i="12"/>
  <c r="R17" i="12"/>
  <c r="U17" i="12"/>
  <c r="T17" i="12"/>
  <c r="R18" i="12"/>
  <c r="U18" i="12"/>
  <c r="T18" i="12"/>
  <c r="R19" i="12"/>
  <c r="U19" i="12"/>
  <c r="T19" i="12"/>
  <c r="R20" i="12"/>
  <c r="U20" i="12"/>
  <c r="T20" i="12"/>
  <c r="R21" i="12"/>
  <c r="U21" i="12"/>
  <c r="T21" i="12"/>
  <c r="R22" i="12"/>
  <c r="U22" i="12"/>
  <c r="T22" i="12"/>
  <c r="R23" i="12"/>
  <c r="U23" i="12"/>
  <c r="T23" i="12"/>
  <c r="R24" i="12"/>
  <c r="U24" i="12"/>
  <c r="T24" i="12"/>
  <c r="R25" i="12"/>
  <c r="U25" i="12"/>
  <c r="T25" i="12"/>
  <c r="R26" i="12"/>
  <c r="U26" i="12"/>
  <c r="T26" i="12"/>
  <c r="R27" i="12"/>
  <c r="U27" i="12"/>
  <c r="T27" i="12"/>
  <c r="R28" i="12"/>
  <c r="U28" i="12"/>
  <c r="T28" i="12"/>
  <c r="R29" i="12"/>
  <c r="U29" i="12"/>
  <c r="T29" i="12"/>
  <c r="R30" i="12"/>
  <c r="U30" i="12"/>
  <c r="T30" i="12"/>
  <c r="R31" i="12"/>
  <c r="U31" i="12"/>
  <c r="T31" i="12"/>
  <c r="R32" i="12"/>
  <c r="U32" i="12"/>
  <c r="T32" i="12"/>
  <c r="R33" i="12"/>
  <c r="U33" i="12"/>
  <c r="T33" i="12"/>
  <c r="R34" i="12"/>
  <c r="U34" i="12"/>
  <c r="T34" i="12"/>
  <c r="R35" i="12"/>
  <c r="U35" i="12"/>
  <c r="T35" i="12"/>
  <c r="R36" i="12"/>
  <c r="U36" i="12"/>
  <c r="T36" i="12"/>
  <c r="R37" i="12"/>
  <c r="U37" i="12"/>
  <c r="T37" i="12"/>
  <c r="R38" i="12"/>
  <c r="U38" i="12"/>
  <c r="T38" i="12"/>
  <c r="R9" i="12"/>
  <c r="U9" i="12"/>
  <c r="T9" i="12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R10" i="11"/>
  <c r="U10" i="11"/>
  <c r="T10" i="11"/>
  <c r="R11" i="11"/>
  <c r="U11" i="11"/>
  <c r="T11" i="11"/>
  <c r="R12" i="11"/>
  <c r="U12" i="11"/>
  <c r="T12" i="11"/>
  <c r="R13" i="11"/>
  <c r="U13" i="11"/>
  <c r="T13" i="11"/>
  <c r="R14" i="11"/>
  <c r="U14" i="11"/>
  <c r="T14" i="11"/>
  <c r="R15" i="11"/>
  <c r="U15" i="11"/>
  <c r="T15" i="11"/>
  <c r="R16" i="11"/>
  <c r="U16" i="11"/>
  <c r="T16" i="11"/>
  <c r="R17" i="11"/>
  <c r="U17" i="11"/>
  <c r="T17" i="11"/>
  <c r="R18" i="11"/>
  <c r="U18" i="11"/>
  <c r="T18" i="11"/>
  <c r="R19" i="11"/>
  <c r="U19" i="11"/>
  <c r="T19" i="11"/>
  <c r="R20" i="11"/>
  <c r="U20" i="11"/>
  <c r="T20" i="11"/>
  <c r="R21" i="11"/>
  <c r="U21" i="11"/>
  <c r="T21" i="11"/>
  <c r="R22" i="11"/>
  <c r="U22" i="11"/>
  <c r="T22" i="11"/>
  <c r="R23" i="11"/>
  <c r="U23" i="11"/>
  <c r="T23" i="11"/>
  <c r="R24" i="11"/>
  <c r="U24" i="11"/>
  <c r="T24" i="11"/>
  <c r="R25" i="11"/>
  <c r="U25" i="11"/>
  <c r="T25" i="11"/>
  <c r="R26" i="11"/>
  <c r="U26" i="11"/>
  <c r="T26" i="11"/>
  <c r="R27" i="11"/>
  <c r="U27" i="11"/>
  <c r="T27" i="11"/>
  <c r="R28" i="11"/>
  <c r="U28" i="11"/>
  <c r="T28" i="11"/>
  <c r="R29" i="11"/>
  <c r="U29" i="11"/>
  <c r="T29" i="11"/>
  <c r="R30" i="11"/>
  <c r="U30" i="11"/>
  <c r="T30" i="11"/>
  <c r="R31" i="11"/>
  <c r="U31" i="11"/>
  <c r="T31" i="11"/>
  <c r="R32" i="11"/>
  <c r="U32" i="11"/>
  <c r="T32" i="11"/>
  <c r="R33" i="11"/>
  <c r="U33" i="11"/>
  <c r="T33" i="11"/>
  <c r="R34" i="11"/>
  <c r="U34" i="11"/>
  <c r="T34" i="11"/>
  <c r="R35" i="11"/>
  <c r="U35" i="11"/>
  <c r="T35" i="11"/>
  <c r="R36" i="11"/>
  <c r="U36" i="11"/>
  <c r="T36" i="11"/>
  <c r="R37" i="11"/>
  <c r="U37" i="11"/>
  <c r="T37" i="11"/>
  <c r="R38" i="11"/>
  <c r="U38" i="11"/>
  <c r="T38" i="11"/>
  <c r="R39" i="11"/>
  <c r="U39" i="11"/>
  <c r="T39" i="11"/>
  <c r="R9" i="11"/>
  <c r="U9" i="11"/>
  <c r="T9" i="11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R10" i="10"/>
  <c r="U10" i="10"/>
  <c r="T10" i="10"/>
  <c r="R11" i="10"/>
  <c r="U11" i="10"/>
  <c r="T11" i="10"/>
  <c r="R12" i="10"/>
  <c r="U12" i="10"/>
  <c r="T12" i="10"/>
  <c r="R13" i="10"/>
  <c r="U13" i="10"/>
  <c r="T13" i="10"/>
  <c r="R14" i="10"/>
  <c r="U14" i="10"/>
  <c r="T14" i="10"/>
  <c r="R15" i="10"/>
  <c r="U15" i="10"/>
  <c r="T15" i="10"/>
  <c r="R16" i="10"/>
  <c r="U16" i="10"/>
  <c r="T16" i="10"/>
  <c r="R17" i="10"/>
  <c r="U17" i="10"/>
  <c r="T17" i="10"/>
  <c r="R18" i="10"/>
  <c r="U18" i="10"/>
  <c r="T18" i="10"/>
  <c r="R19" i="10"/>
  <c r="U19" i="10"/>
  <c r="T19" i="10"/>
  <c r="R20" i="10"/>
  <c r="U20" i="10"/>
  <c r="T20" i="10"/>
  <c r="R21" i="10"/>
  <c r="U21" i="10"/>
  <c r="T21" i="10"/>
  <c r="R22" i="10"/>
  <c r="U22" i="10"/>
  <c r="T22" i="10"/>
  <c r="R23" i="10"/>
  <c r="U23" i="10"/>
  <c r="T23" i="10"/>
  <c r="R24" i="10"/>
  <c r="U24" i="10"/>
  <c r="T24" i="10"/>
  <c r="R25" i="10"/>
  <c r="U25" i="10"/>
  <c r="T25" i="10"/>
  <c r="R26" i="10"/>
  <c r="U26" i="10"/>
  <c r="T26" i="10"/>
  <c r="R27" i="10"/>
  <c r="U27" i="10"/>
  <c r="T27" i="10"/>
  <c r="R28" i="10"/>
  <c r="U28" i="10"/>
  <c r="T28" i="10"/>
  <c r="R29" i="10"/>
  <c r="U29" i="10"/>
  <c r="T29" i="10"/>
  <c r="R30" i="10"/>
  <c r="U30" i="10"/>
  <c r="T30" i="10"/>
  <c r="R31" i="10"/>
  <c r="U31" i="10"/>
  <c r="T31" i="10"/>
  <c r="R32" i="10"/>
  <c r="U32" i="10"/>
  <c r="T32" i="10"/>
  <c r="R33" i="10"/>
  <c r="U33" i="10"/>
  <c r="T33" i="10"/>
  <c r="R34" i="10"/>
  <c r="U34" i="10"/>
  <c r="T34" i="10"/>
  <c r="R35" i="10"/>
  <c r="U35" i="10"/>
  <c r="T35" i="10"/>
  <c r="R36" i="10"/>
  <c r="U36" i="10"/>
  <c r="T36" i="10"/>
  <c r="R37" i="10"/>
  <c r="U37" i="10"/>
  <c r="T37" i="10"/>
  <c r="R38" i="10"/>
  <c r="U38" i="10"/>
  <c r="T38" i="10"/>
  <c r="R39" i="10"/>
  <c r="U39" i="10"/>
  <c r="T39" i="10"/>
  <c r="R9" i="10"/>
  <c r="U9" i="10"/>
  <c r="T9" i="10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40" i="9"/>
  <c r="R10" i="9"/>
  <c r="U10" i="9"/>
  <c r="T10" i="9"/>
  <c r="R11" i="9"/>
  <c r="U11" i="9"/>
  <c r="T11" i="9"/>
  <c r="R12" i="9"/>
  <c r="U12" i="9"/>
  <c r="T12" i="9"/>
  <c r="R13" i="9"/>
  <c r="U13" i="9"/>
  <c r="T13" i="9"/>
  <c r="R14" i="9"/>
  <c r="U14" i="9"/>
  <c r="T14" i="9"/>
  <c r="R15" i="9"/>
  <c r="U15" i="9"/>
  <c r="T15" i="9"/>
  <c r="R16" i="9"/>
  <c r="U16" i="9"/>
  <c r="T16" i="9"/>
  <c r="R17" i="9"/>
  <c r="U17" i="9"/>
  <c r="T17" i="9"/>
  <c r="R18" i="9"/>
  <c r="U18" i="9"/>
  <c r="T18" i="9"/>
  <c r="R19" i="9"/>
  <c r="U19" i="9"/>
  <c r="T19" i="9"/>
  <c r="R20" i="9"/>
  <c r="U20" i="9"/>
  <c r="T20" i="9"/>
  <c r="R21" i="9"/>
  <c r="U21" i="9"/>
  <c r="T21" i="9"/>
  <c r="R22" i="9"/>
  <c r="U22" i="9"/>
  <c r="T22" i="9"/>
  <c r="R23" i="9"/>
  <c r="U23" i="9"/>
  <c r="T23" i="9"/>
  <c r="R24" i="9"/>
  <c r="U24" i="9"/>
  <c r="T24" i="9"/>
  <c r="R25" i="9"/>
  <c r="U25" i="9"/>
  <c r="T25" i="9"/>
  <c r="R26" i="9"/>
  <c r="U26" i="9"/>
  <c r="T26" i="9"/>
  <c r="R27" i="9"/>
  <c r="U27" i="9"/>
  <c r="T27" i="9"/>
  <c r="R28" i="9"/>
  <c r="U28" i="9"/>
  <c r="T28" i="9"/>
  <c r="R29" i="9"/>
  <c r="U29" i="9"/>
  <c r="T29" i="9"/>
  <c r="R30" i="9"/>
  <c r="U30" i="9"/>
  <c r="T30" i="9"/>
  <c r="R31" i="9"/>
  <c r="U31" i="9"/>
  <c r="T31" i="9"/>
  <c r="R32" i="9"/>
  <c r="U32" i="9"/>
  <c r="T32" i="9"/>
  <c r="R33" i="9"/>
  <c r="U33" i="9"/>
  <c r="T33" i="9"/>
  <c r="R34" i="9"/>
  <c r="U34" i="9"/>
  <c r="T34" i="9"/>
  <c r="R35" i="9"/>
  <c r="U35" i="9"/>
  <c r="T35" i="9"/>
  <c r="R36" i="9"/>
  <c r="U36" i="9"/>
  <c r="T36" i="9"/>
  <c r="R37" i="9"/>
  <c r="U37" i="9"/>
  <c r="T37" i="9"/>
  <c r="R38" i="9"/>
  <c r="U38" i="9"/>
  <c r="T38" i="9"/>
  <c r="R9" i="9"/>
  <c r="U9" i="9"/>
  <c r="T9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R10" i="8"/>
  <c r="U10" i="8"/>
  <c r="T10" i="8"/>
  <c r="R11" i="8"/>
  <c r="U11" i="8"/>
  <c r="T11" i="8"/>
  <c r="R12" i="8"/>
  <c r="U12" i="8"/>
  <c r="T12" i="8"/>
  <c r="R13" i="8"/>
  <c r="U13" i="8"/>
  <c r="T13" i="8"/>
  <c r="R14" i="8"/>
  <c r="U14" i="8"/>
  <c r="T14" i="8"/>
  <c r="R15" i="8"/>
  <c r="U15" i="8"/>
  <c r="T15" i="8"/>
  <c r="R16" i="8"/>
  <c r="U16" i="8"/>
  <c r="T16" i="8"/>
  <c r="R17" i="8"/>
  <c r="U17" i="8"/>
  <c r="T17" i="8"/>
  <c r="R18" i="8"/>
  <c r="U18" i="8"/>
  <c r="T18" i="8"/>
  <c r="R19" i="8"/>
  <c r="U19" i="8"/>
  <c r="T19" i="8"/>
  <c r="R20" i="8"/>
  <c r="U20" i="8"/>
  <c r="T20" i="8"/>
  <c r="R21" i="8"/>
  <c r="U21" i="8"/>
  <c r="T21" i="8"/>
  <c r="R22" i="8"/>
  <c r="U22" i="8"/>
  <c r="T22" i="8"/>
  <c r="R23" i="8"/>
  <c r="U23" i="8"/>
  <c r="T23" i="8"/>
  <c r="R24" i="8"/>
  <c r="U24" i="8"/>
  <c r="T24" i="8"/>
  <c r="R25" i="8"/>
  <c r="U25" i="8"/>
  <c r="T25" i="8"/>
  <c r="R26" i="8"/>
  <c r="U26" i="8"/>
  <c r="T26" i="8"/>
  <c r="R27" i="8"/>
  <c r="U27" i="8"/>
  <c r="T27" i="8"/>
  <c r="R28" i="8"/>
  <c r="U28" i="8"/>
  <c r="T28" i="8"/>
  <c r="R29" i="8"/>
  <c r="U29" i="8"/>
  <c r="T29" i="8"/>
  <c r="R30" i="8"/>
  <c r="U30" i="8"/>
  <c r="T30" i="8"/>
  <c r="R31" i="8"/>
  <c r="U31" i="8"/>
  <c r="T31" i="8"/>
  <c r="R32" i="8"/>
  <c r="U32" i="8"/>
  <c r="T32" i="8"/>
  <c r="R33" i="8"/>
  <c r="U33" i="8"/>
  <c r="T33" i="8"/>
  <c r="R34" i="8"/>
  <c r="U34" i="8"/>
  <c r="T34" i="8"/>
  <c r="R35" i="8"/>
  <c r="U35" i="8"/>
  <c r="T35" i="8"/>
  <c r="R36" i="8"/>
  <c r="U36" i="8"/>
  <c r="T36" i="8"/>
  <c r="R37" i="8"/>
  <c r="U37" i="8"/>
  <c r="T37" i="8"/>
  <c r="R38" i="8"/>
  <c r="U38" i="8"/>
  <c r="T38" i="8"/>
  <c r="R39" i="8"/>
  <c r="U39" i="8"/>
  <c r="T39" i="8"/>
  <c r="R9" i="8"/>
  <c r="U9" i="8"/>
  <c r="T9" i="8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40" i="7"/>
  <c r="R10" i="7"/>
  <c r="U10" i="7"/>
  <c r="T10" i="7"/>
  <c r="R11" i="7"/>
  <c r="U11" i="7"/>
  <c r="T11" i="7"/>
  <c r="R12" i="7"/>
  <c r="U12" i="7"/>
  <c r="T12" i="7"/>
  <c r="R13" i="7"/>
  <c r="U13" i="7"/>
  <c r="T13" i="7"/>
  <c r="R14" i="7"/>
  <c r="U14" i="7"/>
  <c r="T14" i="7"/>
  <c r="R15" i="7"/>
  <c r="U15" i="7"/>
  <c r="T15" i="7"/>
  <c r="R16" i="7"/>
  <c r="U16" i="7"/>
  <c r="T16" i="7"/>
  <c r="R17" i="7"/>
  <c r="U17" i="7"/>
  <c r="T17" i="7"/>
  <c r="R18" i="7"/>
  <c r="U18" i="7"/>
  <c r="T18" i="7"/>
  <c r="R19" i="7"/>
  <c r="U19" i="7"/>
  <c r="T19" i="7"/>
  <c r="R20" i="7"/>
  <c r="U20" i="7"/>
  <c r="T20" i="7"/>
  <c r="R21" i="7"/>
  <c r="U21" i="7"/>
  <c r="T21" i="7"/>
  <c r="R22" i="7"/>
  <c r="U22" i="7"/>
  <c r="T22" i="7"/>
  <c r="R23" i="7"/>
  <c r="U23" i="7"/>
  <c r="T23" i="7"/>
  <c r="R24" i="7"/>
  <c r="U24" i="7"/>
  <c r="T24" i="7"/>
  <c r="R25" i="7"/>
  <c r="U25" i="7"/>
  <c r="T25" i="7"/>
  <c r="R26" i="7"/>
  <c r="U26" i="7"/>
  <c r="T26" i="7"/>
  <c r="R27" i="7"/>
  <c r="U27" i="7"/>
  <c r="T27" i="7"/>
  <c r="R28" i="7"/>
  <c r="U28" i="7"/>
  <c r="T28" i="7"/>
  <c r="R29" i="7"/>
  <c r="U29" i="7"/>
  <c r="T29" i="7"/>
  <c r="R30" i="7"/>
  <c r="U30" i="7"/>
  <c r="T30" i="7"/>
  <c r="R31" i="7"/>
  <c r="U31" i="7"/>
  <c r="T31" i="7"/>
  <c r="R32" i="7"/>
  <c r="U32" i="7"/>
  <c r="T32" i="7"/>
  <c r="R33" i="7"/>
  <c r="U33" i="7"/>
  <c r="T33" i="7"/>
  <c r="R34" i="7"/>
  <c r="U34" i="7"/>
  <c r="T34" i="7"/>
  <c r="R35" i="7"/>
  <c r="U35" i="7"/>
  <c r="T35" i="7"/>
  <c r="R36" i="7"/>
  <c r="U36" i="7"/>
  <c r="T36" i="7"/>
  <c r="R37" i="7"/>
  <c r="U37" i="7"/>
  <c r="T37" i="7"/>
  <c r="R38" i="7"/>
  <c r="U38" i="7"/>
  <c r="T38" i="7"/>
  <c r="R9" i="7"/>
  <c r="U9" i="7"/>
  <c r="T9" i="7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R10" i="6"/>
  <c r="U10" i="6"/>
  <c r="T10" i="6"/>
  <c r="R11" i="6"/>
  <c r="U11" i="6"/>
  <c r="T11" i="6"/>
  <c r="R12" i="6"/>
  <c r="U12" i="6"/>
  <c r="T12" i="6"/>
  <c r="R13" i="6"/>
  <c r="U13" i="6"/>
  <c r="T13" i="6"/>
  <c r="R14" i="6"/>
  <c r="U14" i="6"/>
  <c r="T14" i="6"/>
  <c r="R15" i="6"/>
  <c r="U15" i="6"/>
  <c r="T15" i="6"/>
  <c r="R16" i="6"/>
  <c r="U16" i="6"/>
  <c r="T16" i="6"/>
  <c r="R17" i="6"/>
  <c r="U17" i="6"/>
  <c r="T17" i="6"/>
  <c r="R18" i="6"/>
  <c r="U18" i="6"/>
  <c r="T18" i="6"/>
  <c r="R19" i="6"/>
  <c r="U19" i="6"/>
  <c r="T19" i="6"/>
  <c r="R20" i="6"/>
  <c r="U20" i="6"/>
  <c r="T20" i="6"/>
  <c r="R21" i="6"/>
  <c r="U21" i="6"/>
  <c r="T21" i="6"/>
  <c r="R22" i="6"/>
  <c r="U22" i="6"/>
  <c r="T22" i="6"/>
  <c r="R23" i="6"/>
  <c r="U23" i="6"/>
  <c r="T23" i="6"/>
  <c r="R24" i="6"/>
  <c r="U24" i="6"/>
  <c r="T24" i="6"/>
  <c r="R25" i="6"/>
  <c r="U25" i="6"/>
  <c r="T25" i="6"/>
  <c r="R26" i="6"/>
  <c r="U26" i="6"/>
  <c r="T26" i="6"/>
  <c r="R27" i="6"/>
  <c r="U27" i="6"/>
  <c r="T27" i="6"/>
  <c r="R28" i="6"/>
  <c r="U28" i="6"/>
  <c r="T28" i="6"/>
  <c r="R29" i="6"/>
  <c r="U29" i="6"/>
  <c r="T29" i="6"/>
  <c r="R30" i="6"/>
  <c r="U30" i="6"/>
  <c r="T30" i="6"/>
  <c r="R31" i="6"/>
  <c r="U31" i="6"/>
  <c r="T31" i="6"/>
  <c r="R32" i="6"/>
  <c r="U32" i="6"/>
  <c r="T32" i="6"/>
  <c r="R33" i="6"/>
  <c r="U33" i="6"/>
  <c r="T33" i="6"/>
  <c r="R34" i="6"/>
  <c r="U34" i="6"/>
  <c r="T34" i="6"/>
  <c r="R35" i="6"/>
  <c r="U35" i="6"/>
  <c r="T35" i="6"/>
  <c r="R36" i="6"/>
  <c r="U36" i="6"/>
  <c r="T36" i="6"/>
  <c r="R37" i="6"/>
  <c r="U37" i="6"/>
  <c r="T37" i="6"/>
  <c r="R38" i="6"/>
  <c r="U38" i="6"/>
  <c r="T38" i="6"/>
  <c r="R39" i="6"/>
  <c r="U39" i="6"/>
  <c r="T39" i="6"/>
  <c r="R9" i="6"/>
  <c r="U9" i="6"/>
  <c r="T9" i="6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9" i="4"/>
  <c r="R9" i="4"/>
  <c r="U9" i="4"/>
  <c r="T9" i="4"/>
  <c r="U10" i="4"/>
  <c r="R10" i="4"/>
  <c r="T10" i="4"/>
  <c r="R11" i="4"/>
  <c r="S11" i="4"/>
  <c r="U11" i="4"/>
  <c r="T11" i="4"/>
  <c r="U12" i="4"/>
  <c r="R12" i="4"/>
  <c r="T12" i="4"/>
  <c r="R13" i="4"/>
  <c r="S13" i="4"/>
  <c r="U13" i="4"/>
  <c r="T13" i="4"/>
  <c r="U14" i="4"/>
  <c r="R14" i="4"/>
  <c r="T14" i="4"/>
  <c r="R15" i="4"/>
  <c r="S15" i="4"/>
  <c r="U15" i="4"/>
  <c r="T15" i="4"/>
  <c r="U16" i="4"/>
  <c r="R16" i="4"/>
  <c r="T16" i="4"/>
  <c r="R17" i="4"/>
  <c r="S17" i="4"/>
  <c r="U17" i="4"/>
  <c r="T17" i="4"/>
  <c r="U18" i="4"/>
  <c r="R18" i="4"/>
  <c r="T18" i="4"/>
  <c r="R19" i="4"/>
  <c r="S19" i="4"/>
  <c r="U19" i="4"/>
  <c r="T19" i="4"/>
  <c r="U20" i="4"/>
  <c r="R20" i="4"/>
  <c r="T20" i="4"/>
  <c r="R21" i="4"/>
  <c r="S21" i="4"/>
  <c r="U21" i="4"/>
  <c r="T21" i="4"/>
  <c r="U22" i="4"/>
  <c r="R22" i="4"/>
  <c r="T22" i="4"/>
  <c r="R23" i="4"/>
  <c r="S23" i="4"/>
  <c r="U23" i="4"/>
  <c r="T23" i="4"/>
  <c r="U24" i="4"/>
  <c r="R24" i="4"/>
  <c r="T24" i="4"/>
  <c r="R25" i="4"/>
  <c r="S25" i="4"/>
  <c r="U25" i="4"/>
  <c r="T25" i="4"/>
  <c r="U26" i="4"/>
  <c r="R26" i="4"/>
  <c r="T26" i="4"/>
  <c r="R27" i="4"/>
  <c r="S27" i="4"/>
  <c r="U27" i="4"/>
  <c r="T27" i="4"/>
  <c r="U28" i="4"/>
  <c r="R28" i="4"/>
  <c r="T28" i="4"/>
  <c r="R29" i="4"/>
  <c r="S29" i="4"/>
  <c r="U29" i="4"/>
  <c r="T29" i="4"/>
  <c r="U30" i="4"/>
  <c r="R30" i="4"/>
  <c r="T30" i="4"/>
  <c r="R31" i="4"/>
  <c r="S31" i="4"/>
  <c r="U31" i="4"/>
  <c r="T31" i="4"/>
  <c r="U32" i="4"/>
  <c r="R32" i="4"/>
  <c r="T32" i="4"/>
  <c r="R33" i="4"/>
  <c r="S33" i="4"/>
  <c r="U33" i="4"/>
  <c r="T33" i="4"/>
  <c r="U34" i="4"/>
  <c r="R34" i="4"/>
  <c r="T34" i="4"/>
  <c r="R35" i="4"/>
  <c r="S35" i="4"/>
  <c r="U35" i="4"/>
  <c r="T35" i="4"/>
  <c r="U36" i="4"/>
  <c r="R36" i="4"/>
  <c r="T36" i="4"/>
  <c r="U37" i="4"/>
  <c r="R37" i="4"/>
  <c r="T37" i="4"/>
  <c r="U38" i="4"/>
  <c r="T38" i="4"/>
  <c r="U39" i="4"/>
  <c r="T39" i="4"/>
  <c r="T40" i="4"/>
  <c r="R10" i="5"/>
  <c r="U10" i="5"/>
  <c r="T10" i="5"/>
  <c r="R11" i="5"/>
  <c r="U11" i="5"/>
  <c r="T11" i="5"/>
  <c r="R12" i="5"/>
  <c r="U12" i="5"/>
  <c r="T12" i="5"/>
  <c r="R13" i="5"/>
  <c r="U13" i="5"/>
  <c r="T13" i="5"/>
  <c r="R14" i="5"/>
  <c r="U14" i="5"/>
  <c r="T14" i="5"/>
  <c r="R15" i="5"/>
  <c r="U15" i="5"/>
  <c r="T15" i="5"/>
  <c r="R16" i="5"/>
  <c r="U16" i="5"/>
  <c r="T16" i="5"/>
  <c r="R17" i="5"/>
  <c r="U17" i="5"/>
  <c r="T17" i="5"/>
  <c r="R18" i="5"/>
  <c r="U18" i="5"/>
  <c r="T18" i="5"/>
  <c r="R19" i="5"/>
  <c r="U19" i="5"/>
  <c r="T19" i="5"/>
  <c r="R20" i="5"/>
  <c r="U20" i="5"/>
  <c r="T20" i="5"/>
  <c r="R21" i="5"/>
  <c r="U21" i="5"/>
  <c r="T21" i="5"/>
  <c r="R22" i="5"/>
  <c r="U22" i="5"/>
  <c r="T22" i="5"/>
  <c r="R23" i="5"/>
  <c r="U23" i="5"/>
  <c r="T23" i="5"/>
  <c r="R24" i="5"/>
  <c r="U24" i="5"/>
  <c r="T24" i="5"/>
  <c r="R25" i="5"/>
  <c r="U25" i="5"/>
  <c r="T25" i="5"/>
  <c r="R26" i="5"/>
  <c r="U26" i="5"/>
  <c r="T26" i="5"/>
  <c r="R27" i="5"/>
  <c r="U27" i="5"/>
  <c r="T27" i="5"/>
  <c r="R28" i="5"/>
  <c r="U28" i="5"/>
  <c r="T28" i="5"/>
  <c r="R29" i="5"/>
  <c r="U29" i="5"/>
  <c r="T29" i="5"/>
  <c r="R30" i="5"/>
  <c r="U30" i="5"/>
  <c r="T30" i="5"/>
  <c r="R31" i="5"/>
  <c r="U31" i="5"/>
  <c r="T31" i="5"/>
  <c r="R32" i="5"/>
  <c r="U32" i="5"/>
  <c r="T32" i="5"/>
  <c r="R33" i="5"/>
  <c r="U33" i="5"/>
  <c r="T33" i="5"/>
  <c r="R34" i="5"/>
  <c r="U34" i="5"/>
  <c r="T34" i="5"/>
  <c r="R35" i="5"/>
  <c r="U35" i="5"/>
  <c r="T35" i="5"/>
  <c r="R36" i="5"/>
  <c r="U36" i="5"/>
  <c r="T36" i="5"/>
  <c r="R37" i="5"/>
  <c r="U37" i="5"/>
  <c r="T37" i="5"/>
  <c r="R38" i="5"/>
  <c r="U38" i="5"/>
  <c r="T38" i="5"/>
  <c r="R39" i="5"/>
  <c r="U39" i="5"/>
  <c r="T39" i="5"/>
  <c r="R39" i="7"/>
  <c r="T39" i="7"/>
  <c r="U39" i="7"/>
  <c r="R39" i="9"/>
  <c r="T39" i="9"/>
  <c r="U39" i="9"/>
  <c r="R39" i="12"/>
  <c r="T39" i="12"/>
  <c r="U39" i="12"/>
  <c r="R39" i="14"/>
  <c r="T39" i="14"/>
  <c r="U39" i="14"/>
  <c r="S10" i="4"/>
  <c r="S12" i="4"/>
  <c r="S14" i="4"/>
  <c r="S16" i="4"/>
  <c r="S18" i="4"/>
  <c r="S20" i="4"/>
  <c r="S22" i="4"/>
  <c r="S24" i="4"/>
  <c r="S26" i="4"/>
  <c r="S28" i="4"/>
  <c r="S30" i="4"/>
  <c r="S32" i="4"/>
  <c r="S34" i="4"/>
  <c r="S36" i="4"/>
  <c r="S37" i="4"/>
  <c r="R38" i="4"/>
  <c r="S38" i="4"/>
  <c r="R39" i="4"/>
  <c r="S39" i="4"/>
  <c r="R9" i="5"/>
  <c r="U9" i="5"/>
  <c r="T9" i="5"/>
  <c r="K42" i="1"/>
  <c r="F5" i="7"/>
  <c r="F5" i="8"/>
  <c r="F5" i="9"/>
  <c r="F5" i="10"/>
  <c r="F5" i="11"/>
  <c r="F5" i="12"/>
  <c r="F5" i="13"/>
  <c r="F5" i="14"/>
  <c r="F5" i="15"/>
  <c r="F5" i="6"/>
  <c r="F5" i="5"/>
  <c r="F5" i="4"/>
  <c r="F21" i="1"/>
  <c r="F22" i="1"/>
  <c r="F23" i="1"/>
  <c r="F24" i="1"/>
  <c r="F25" i="1"/>
  <c r="F26" i="1"/>
  <c r="F20" i="1"/>
  <c r="N42" i="1"/>
  <c r="Q42" i="1"/>
  <c r="T42" i="1"/>
  <c r="W42" i="1"/>
  <c r="Z42" i="1"/>
  <c r="K55" i="1"/>
  <c r="N55" i="1"/>
  <c r="Q55" i="1"/>
  <c r="Z53" i="1"/>
  <c r="F4" i="15"/>
  <c r="W53" i="1"/>
  <c r="F4" i="14"/>
  <c r="T53" i="1"/>
  <c r="F4" i="13"/>
  <c r="Q53" i="1"/>
  <c r="F4" i="12"/>
  <c r="N53" i="1"/>
  <c r="F4" i="11"/>
  <c r="K53" i="1"/>
  <c r="F4" i="10"/>
  <c r="Z40" i="1"/>
  <c r="F4" i="9"/>
  <c r="W40" i="1"/>
  <c r="F4" i="8"/>
  <c r="T40" i="1"/>
  <c r="F4" i="7"/>
  <c r="Q40" i="1"/>
  <c r="F4" i="6"/>
  <c r="N40" i="1"/>
  <c r="F4" i="5"/>
  <c r="K40" i="1"/>
  <c r="F4" i="4"/>
  <c r="S43" i="4"/>
  <c r="L2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D16" i="4"/>
  <c r="B17" i="4"/>
  <c r="D17" i="4"/>
  <c r="B18" i="4"/>
  <c r="D18" i="4"/>
  <c r="B19" i="4"/>
  <c r="D19" i="4"/>
  <c r="B20" i="4"/>
  <c r="D20" i="4"/>
  <c r="B21" i="4"/>
  <c r="D21" i="4"/>
  <c r="B22" i="4"/>
  <c r="D22" i="4"/>
  <c r="B23" i="4"/>
  <c r="D23" i="4"/>
  <c r="B24" i="4"/>
  <c r="D24" i="4"/>
  <c r="B25" i="4"/>
  <c r="D25" i="4"/>
  <c r="B26" i="4"/>
  <c r="D26" i="4"/>
  <c r="B27" i="4"/>
  <c r="D27" i="4"/>
  <c r="B28" i="4"/>
  <c r="D28" i="4"/>
  <c r="B29" i="4"/>
  <c r="D29" i="4"/>
  <c r="B30" i="4"/>
  <c r="D30" i="4"/>
  <c r="B31" i="4"/>
  <c r="D31" i="4"/>
  <c r="B32" i="4"/>
  <c r="D32" i="4"/>
  <c r="B33" i="4"/>
  <c r="D33" i="4"/>
  <c r="B34" i="4"/>
  <c r="D34" i="4"/>
  <c r="B35" i="4"/>
  <c r="D35" i="4"/>
  <c r="B36" i="4"/>
  <c r="D36" i="4"/>
  <c r="B37" i="4"/>
  <c r="D37" i="4"/>
  <c r="B38" i="4"/>
  <c r="D38" i="4"/>
  <c r="B39" i="4"/>
  <c r="D39" i="4"/>
  <c r="U40" i="4"/>
  <c r="S42" i="4"/>
  <c r="S44" i="4"/>
  <c r="T43" i="5"/>
  <c r="B37" i="5"/>
  <c r="D37" i="5"/>
  <c r="U40" i="5"/>
  <c r="T42" i="5"/>
  <c r="T44" i="5"/>
  <c r="T43" i="6"/>
  <c r="U40" i="6"/>
  <c r="T42" i="6"/>
  <c r="T44" i="6"/>
  <c r="T43" i="7"/>
  <c r="U40" i="7"/>
  <c r="T42" i="7"/>
  <c r="T44" i="7"/>
  <c r="T43" i="8"/>
  <c r="U40" i="8"/>
  <c r="T42" i="8"/>
  <c r="T44" i="8"/>
  <c r="T43" i="9"/>
  <c r="U40" i="9"/>
  <c r="T42" i="9"/>
  <c r="T44" i="9"/>
  <c r="T43" i="10"/>
  <c r="U40" i="10"/>
  <c r="T42" i="10"/>
  <c r="T44" i="10"/>
  <c r="T43" i="11"/>
  <c r="U40" i="11"/>
  <c r="T42" i="11"/>
  <c r="T44" i="11"/>
  <c r="T43" i="12"/>
  <c r="U40" i="12"/>
  <c r="T42" i="12"/>
  <c r="T45" i="12"/>
  <c r="T55" i="1"/>
  <c r="X2" i="7"/>
  <c r="G3" i="7"/>
  <c r="X3" i="7"/>
  <c r="X4" i="7"/>
  <c r="X5" i="7"/>
  <c r="C9" i="7"/>
  <c r="E9" i="7"/>
  <c r="W9" i="7"/>
  <c r="C10" i="7"/>
  <c r="E10" i="7"/>
  <c r="W10" i="7"/>
  <c r="C11" i="7"/>
  <c r="E11" i="7"/>
  <c r="W11" i="7"/>
  <c r="C12" i="7"/>
  <c r="E12" i="7"/>
  <c r="W12" i="7"/>
  <c r="C13" i="7"/>
  <c r="E13" i="7"/>
  <c r="W13" i="7"/>
  <c r="C14" i="7"/>
  <c r="E14" i="7"/>
  <c r="W14" i="7"/>
  <c r="C15" i="7"/>
  <c r="E15" i="7"/>
  <c r="W15" i="7"/>
  <c r="C16" i="7"/>
  <c r="E16" i="7"/>
  <c r="W16" i="7"/>
  <c r="C17" i="7"/>
  <c r="E17" i="7"/>
  <c r="W17" i="7"/>
  <c r="C18" i="7"/>
  <c r="E18" i="7"/>
  <c r="W18" i="7"/>
  <c r="C19" i="7"/>
  <c r="E19" i="7"/>
  <c r="W19" i="7"/>
  <c r="C20" i="7"/>
  <c r="E20" i="7"/>
  <c r="W20" i="7"/>
  <c r="C21" i="7"/>
  <c r="E21" i="7"/>
  <c r="W21" i="7"/>
  <c r="C22" i="7"/>
  <c r="E22" i="7"/>
  <c r="W22" i="7"/>
  <c r="C23" i="7"/>
  <c r="E23" i="7"/>
  <c r="W23" i="7"/>
  <c r="C24" i="7"/>
  <c r="E24" i="7"/>
  <c r="W24" i="7"/>
  <c r="C25" i="7"/>
  <c r="E25" i="7"/>
  <c r="W25" i="7"/>
  <c r="C26" i="7"/>
  <c r="E26" i="7"/>
  <c r="W26" i="7"/>
  <c r="C27" i="7"/>
  <c r="E27" i="7"/>
  <c r="W27" i="7"/>
  <c r="C28" i="7"/>
  <c r="E28" i="7"/>
  <c r="W28" i="7"/>
  <c r="C29" i="7"/>
  <c r="E29" i="7"/>
  <c r="W29" i="7"/>
  <c r="C30" i="7"/>
  <c r="E30" i="7"/>
  <c r="W30" i="7"/>
  <c r="C31" i="7"/>
  <c r="E31" i="7"/>
  <c r="W31" i="7"/>
  <c r="C32" i="7"/>
  <c r="E32" i="7"/>
  <c r="W32" i="7"/>
  <c r="C33" i="7"/>
  <c r="E33" i="7"/>
  <c r="W33" i="7"/>
  <c r="C34" i="7"/>
  <c r="E34" i="7"/>
  <c r="W34" i="7"/>
  <c r="C35" i="7"/>
  <c r="E35" i="7"/>
  <c r="W35" i="7"/>
  <c r="C36" i="7"/>
  <c r="E36" i="7"/>
  <c r="W36" i="7"/>
  <c r="C37" i="7"/>
  <c r="E37" i="7"/>
  <c r="W37" i="7"/>
  <c r="C38" i="7"/>
  <c r="E38" i="7"/>
  <c r="W38" i="7"/>
  <c r="P40" i="7"/>
  <c r="R40" i="7"/>
  <c r="T40" i="7"/>
  <c r="B41" i="7"/>
  <c r="M41" i="7"/>
  <c r="T41" i="7"/>
  <c r="M42" i="7"/>
  <c r="M43" i="7"/>
  <c r="M44" i="7"/>
  <c r="G45" i="7"/>
  <c r="X2" i="11"/>
  <c r="G3" i="11"/>
  <c r="X3" i="11"/>
  <c r="Q40" i="9"/>
  <c r="U5" i="9"/>
  <c r="U4" i="10"/>
  <c r="Q40" i="10"/>
  <c r="U5" i="10"/>
  <c r="U4" i="11"/>
  <c r="X4" i="11"/>
  <c r="Q40" i="11"/>
  <c r="U5" i="11"/>
  <c r="X5" i="11"/>
  <c r="C9" i="11"/>
  <c r="E9" i="11"/>
  <c r="W9" i="11"/>
  <c r="C10" i="11"/>
  <c r="E10" i="11"/>
  <c r="W10" i="11"/>
  <c r="C11" i="11"/>
  <c r="E11" i="11"/>
  <c r="W11" i="11"/>
  <c r="C12" i="11"/>
  <c r="E12" i="11"/>
  <c r="W12" i="11"/>
  <c r="C13" i="11"/>
  <c r="E13" i="11"/>
  <c r="W13" i="11"/>
  <c r="C14" i="11"/>
  <c r="E14" i="11"/>
  <c r="W14" i="11"/>
  <c r="C15" i="11"/>
  <c r="E15" i="11"/>
  <c r="W15" i="11"/>
  <c r="C16" i="11"/>
  <c r="E16" i="11"/>
  <c r="W16" i="11"/>
  <c r="C17" i="11"/>
  <c r="E17" i="11"/>
  <c r="W17" i="11"/>
  <c r="C18" i="11"/>
  <c r="E18" i="11"/>
  <c r="W18" i="11"/>
  <c r="C19" i="11"/>
  <c r="E19" i="11"/>
  <c r="W19" i="11"/>
  <c r="C20" i="11"/>
  <c r="E20" i="11"/>
  <c r="W20" i="11"/>
  <c r="C21" i="11"/>
  <c r="E21" i="11"/>
  <c r="W21" i="11"/>
  <c r="C22" i="11"/>
  <c r="E22" i="11"/>
  <c r="W22" i="11"/>
  <c r="C23" i="11"/>
  <c r="E23" i="11"/>
  <c r="W23" i="11"/>
  <c r="C24" i="11"/>
  <c r="E24" i="11"/>
  <c r="W24" i="11"/>
  <c r="C25" i="11"/>
  <c r="E25" i="11"/>
  <c r="W25" i="11"/>
  <c r="C26" i="11"/>
  <c r="E26" i="11"/>
  <c r="W26" i="11"/>
  <c r="C27" i="11"/>
  <c r="E27" i="11"/>
  <c r="W27" i="11"/>
  <c r="C28" i="11"/>
  <c r="E28" i="11"/>
  <c r="W28" i="11"/>
  <c r="C29" i="11"/>
  <c r="E29" i="11"/>
  <c r="W29" i="11"/>
  <c r="C30" i="11"/>
  <c r="E30" i="11"/>
  <c r="W30" i="11"/>
  <c r="C31" i="11"/>
  <c r="E31" i="11"/>
  <c r="W31" i="11"/>
  <c r="C32" i="11"/>
  <c r="E32" i="11"/>
  <c r="W32" i="11"/>
  <c r="C33" i="11"/>
  <c r="E33" i="11"/>
  <c r="W33" i="11"/>
  <c r="C34" i="11"/>
  <c r="E34" i="11"/>
  <c r="W34" i="11"/>
  <c r="C35" i="11"/>
  <c r="E35" i="11"/>
  <c r="W35" i="11"/>
  <c r="C36" i="11"/>
  <c r="E36" i="11"/>
  <c r="W36" i="11"/>
  <c r="C37" i="11"/>
  <c r="E37" i="11"/>
  <c r="W37" i="11"/>
  <c r="C38" i="11"/>
  <c r="E38" i="11"/>
  <c r="W38" i="11"/>
  <c r="C39" i="11"/>
  <c r="E39" i="11"/>
  <c r="W39" i="11"/>
  <c r="P40" i="11"/>
  <c r="R40" i="11"/>
  <c r="T40" i="11"/>
  <c r="B41" i="11"/>
  <c r="M41" i="11"/>
  <c r="T41" i="11"/>
  <c r="M42" i="11"/>
  <c r="M43" i="11"/>
  <c r="M44" i="11"/>
  <c r="G45" i="11"/>
  <c r="A9" i="1"/>
  <c r="A10" i="1"/>
  <c r="A11" i="1"/>
  <c r="A13" i="1"/>
  <c r="D27" i="1"/>
  <c r="W55" i="1"/>
  <c r="Z55" i="1"/>
  <c r="A42" i="1"/>
  <c r="X2" i="15"/>
  <c r="G3" i="15"/>
  <c r="X3" i="15"/>
  <c r="U4" i="12"/>
  <c r="Q40" i="12"/>
  <c r="U5" i="12"/>
  <c r="U4" i="13"/>
  <c r="Q40" i="13"/>
  <c r="U5" i="13"/>
  <c r="U4" i="14"/>
  <c r="Q40" i="14"/>
  <c r="U5" i="14"/>
  <c r="U4" i="15"/>
  <c r="X4" i="15"/>
  <c r="Q40" i="15"/>
  <c r="U5" i="15"/>
  <c r="X5" i="15"/>
  <c r="C9" i="15"/>
  <c r="E9" i="15"/>
  <c r="W9" i="15"/>
  <c r="C10" i="15"/>
  <c r="E10" i="15"/>
  <c r="W10" i="15"/>
  <c r="C11" i="15"/>
  <c r="E11" i="15"/>
  <c r="W11" i="15"/>
  <c r="C12" i="15"/>
  <c r="E12" i="15"/>
  <c r="W12" i="15"/>
  <c r="C13" i="15"/>
  <c r="E13" i="15"/>
  <c r="W13" i="15"/>
  <c r="C14" i="15"/>
  <c r="E14" i="15"/>
  <c r="W14" i="15"/>
  <c r="C15" i="15"/>
  <c r="E15" i="15"/>
  <c r="W15" i="15"/>
  <c r="C16" i="15"/>
  <c r="E16" i="15"/>
  <c r="W16" i="15"/>
  <c r="C17" i="15"/>
  <c r="E17" i="15"/>
  <c r="W17" i="15"/>
  <c r="C18" i="15"/>
  <c r="E18" i="15"/>
  <c r="W18" i="15"/>
  <c r="C19" i="15"/>
  <c r="E19" i="15"/>
  <c r="W19" i="15"/>
  <c r="C20" i="15"/>
  <c r="E20" i="15"/>
  <c r="W20" i="15"/>
  <c r="C21" i="15"/>
  <c r="E21" i="15"/>
  <c r="W21" i="15"/>
  <c r="C22" i="15"/>
  <c r="E22" i="15"/>
  <c r="W22" i="15"/>
  <c r="C23" i="15"/>
  <c r="E23" i="15"/>
  <c r="W23" i="15"/>
  <c r="C24" i="15"/>
  <c r="E24" i="15"/>
  <c r="W24" i="15"/>
  <c r="C25" i="15"/>
  <c r="E25" i="15"/>
  <c r="W25" i="15"/>
  <c r="C26" i="15"/>
  <c r="E26" i="15"/>
  <c r="W26" i="15"/>
  <c r="C27" i="15"/>
  <c r="E27" i="15"/>
  <c r="W27" i="15"/>
  <c r="C28" i="15"/>
  <c r="E28" i="15"/>
  <c r="W28" i="15"/>
  <c r="C29" i="15"/>
  <c r="E29" i="15"/>
  <c r="W29" i="15"/>
  <c r="C30" i="15"/>
  <c r="E30" i="15"/>
  <c r="W30" i="15"/>
  <c r="C31" i="15"/>
  <c r="E31" i="15"/>
  <c r="W31" i="15"/>
  <c r="C32" i="15"/>
  <c r="E32" i="15"/>
  <c r="W32" i="15"/>
  <c r="C33" i="15"/>
  <c r="E33" i="15"/>
  <c r="W33" i="15"/>
  <c r="C34" i="15"/>
  <c r="E34" i="15"/>
  <c r="W34" i="15"/>
  <c r="C35" i="15"/>
  <c r="E35" i="15"/>
  <c r="W35" i="15"/>
  <c r="C36" i="15"/>
  <c r="E36" i="15"/>
  <c r="W36" i="15"/>
  <c r="C37" i="15"/>
  <c r="E37" i="15"/>
  <c r="W37" i="15"/>
  <c r="C38" i="15"/>
  <c r="E38" i="15"/>
  <c r="W38" i="15"/>
  <c r="C39" i="15"/>
  <c r="E39" i="15"/>
  <c r="W39" i="15"/>
  <c r="P40" i="15"/>
  <c r="R40" i="15"/>
  <c r="T40" i="15"/>
  <c r="U40" i="15"/>
  <c r="B41" i="15"/>
  <c r="M41" i="15"/>
  <c r="T41" i="15"/>
  <c r="T42" i="15"/>
  <c r="M42" i="15"/>
  <c r="T43" i="13"/>
  <c r="U40" i="13"/>
  <c r="T42" i="13"/>
  <c r="T44" i="13"/>
  <c r="T43" i="14"/>
  <c r="U40" i="14"/>
  <c r="T42" i="14"/>
  <c r="T44" i="14"/>
  <c r="T43" i="15"/>
  <c r="M43" i="15"/>
  <c r="M44" i="15"/>
  <c r="T44" i="15"/>
  <c r="G45" i="15"/>
  <c r="X2" i="5"/>
  <c r="G3" i="5"/>
  <c r="X3" i="5"/>
  <c r="X4" i="5"/>
  <c r="X5" i="5"/>
  <c r="C9" i="5"/>
  <c r="E9" i="5"/>
  <c r="W9" i="5"/>
  <c r="C10" i="5"/>
  <c r="E10" i="5"/>
  <c r="W10" i="5"/>
  <c r="C11" i="5"/>
  <c r="E11" i="5"/>
  <c r="W11" i="5"/>
  <c r="C12" i="5"/>
  <c r="E12" i="5"/>
  <c r="W12" i="5"/>
  <c r="C13" i="5"/>
  <c r="E13" i="5"/>
  <c r="W13" i="5"/>
  <c r="C14" i="5"/>
  <c r="E14" i="5"/>
  <c r="W14" i="5"/>
  <c r="C15" i="5"/>
  <c r="E15" i="5"/>
  <c r="W15" i="5"/>
  <c r="C16" i="5"/>
  <c r="E16" i="5"/>
  <c r="W16" i="5"/>
  <c r="C17" i="5"/>
  <c r="E17" i="5"/>
  <c r="W17" i="5"/>
  <c r="C18" i="5"/>
  <c r="E18" i="5"/>
  <c r="W18" i="5"/>
  <c r="C19" i="5"/>
  <c r="E19" i="5"/>
  <c r="W19" i="5"/>
  <c r="C20" i="5"/>
  <c r="E20" i="5"/>
  <c r="W20" i="5"/>
  <c r="C21" i="5"/>
  <c r="E21" i="5"/>
  <c r="W21" i="5"/>
  <c r="C22" i="5"/>
  <c r="E22" i="5"/>
  <c r="W22" i="5"/>
  <c r="C23" i="5"/>
  <c r="E23" i="5"/>
  <c r="W23" i="5"/>
  <c r="C24" i="5"/>
  <c r="E24" i="5"/>
  <c r="W24" i="5"/>
  <c r="C25" i="5"/>
  <c r="E25" i="5"/>
  <c r="W25" i="5"/>
  <c r="C26" i="5"/>
  <c r="E26" i="5"/>
  <c r="W26" i="5"/>
  <c r="C27" i="5"/>
  <c r="E27" i="5"/>
  <c r="W27" i="5"/>
  <c r="C28" i="5"/>
  <c r="E28" i="5"/>
  <c r="W28" i="5"/>
  <c r="C29" i="5"/>
  <c r="E29" i="5"/>
  <c r="W29" i="5"/>
  <c r="C30" i="5"/>
  <c r="E30" i="5"/>
  <c r="W30" i="5"/>
  <c r="C31" i="5"/>
  <c r="E31" i="5"/>
  <c r="W31" i="5"/>
  <c r="C32" i="5"/>
  <c r="E32" i="5"/>
  <c r="W32" i="5"/>
  <c r="C33" i="5"/>
  <c r="E33" i="5"/>
  <c r="W33" i="5"/>
  <c r="C34" i="5"/>
  <c r="E34" i="5"/>
  <c r="W34" i="5"/>
  <c r="C35" i="5"/>
  <c r="E35" i="5"/>
  <c r="W35" i="5"/>
  <c r="C36" i="5"/>
  <c r="E36" i="5"/>
  <c r="W36" i="5"/>
  <c r="C37" i="5"/>
  <c r="E37" i="5"/>
  <c r="P40" i="5"/>
  <c r="R40" i="5"/>
  <c r="T40" i="5"/>
  <c r="B41" i="5"/>
  <c r="M41" i="5"/>
  <c r="T41" i="5"/>
  <c r="M42" i="5"/>
  <c r="M43" i="5"/>
  <c r="M44" i="5"/>
  <c r="G45" i="5"/>
  <c r="E2" i="17"/>
  <c r="Y2" i="17"/>
  <c r="B4" i="17"/>
  <c r="K4" i="17"/>
  <c r="B6" i="17"/>
  <c r="S41" i="4"/>
  <c r="T41" i="6"/>
  <c r="T41" i="8"/>
  <c r="T41" i="9"/>
  <c r="T41" i="10"/>
  <c r="T41" i="12"/>
  <c r="T41" i="13"/>
  <c r="T41" i="14"/>
  <c r="F6" i="17"/>
  <c r="H6" i="17"/>
  <c r="L6" i="17"/>
  <c r="R6" i="17"/>
  <c r="W6" i="17"/>
  <c r="B7" i="17"/>
  <c r="K7" i="17"/>
  <c r="P40" i="4"/>
  <c r="P40" i="6"/>
  <c r="P40" i="8"/>
  <c r="P40" i="9"/>
  <c r="P40" i="10"/>
  <c r="P40" i="12"/>
  <c r="P40" i="13"/>
  <c r="P40" i="14"/>
  <c r="P7" i="17"/>
  <c r="F7" i="17"/>
  <c r="H7" i="17"/>
  <c r="M7" i="17"/>
  <c r="R7" i="17"/>
  <c r="X7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A16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A17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A22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A23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A25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A26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A29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B39" i="17"/>
  <c r="C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B40" i="17"/>
  <c r="C40" i="17"/>
  <c r="F40" i="17"/>
  <c r="G40" i="17"/>
  <c r="J40" i="17"/>
  <c r="K40" i="17"/>
  <c r="N40" i="17"/>
  <c r="O40" i="17"/>
  <c r="P40" i="17"/>
  <c r="Q40" i="17"/>
  <c r="T40" i="17"/>
  <c r="U40" i="17"/>
  <c r="X40" i="17"/>
  <c r="Y40" i="17"/>
  <c r="X2" i="4"/>
  <c r="G3" i="4"/>
  <c r="X3" i="4"/>
  <c r="X4" i="4"/>
  <c r="X5" i="4"/>
  <c r="C9" i="4"/>
  <c r="E9" i="4"/>
  <c r="W9" i="4"/>
  <c r="C10" i="4"/>
  <c r="E10" i="4"/>
  <c r="W10" i="4"/>
  <c r="C11" i="4"/>
  <c r="E11" i="4"/>
  <c r="W11" i="4"/>
  <c r="C12" i="4"/>
  <c r="E12" i="4"/>
  <c r="W12" i="4"/>
  <c r="C13" i="4"/>
  <c r="E13" i="4"/>
  <c r="W13" i="4"/>
  <c r="C14" i="4"/>
  <c r="E14" i="4"/>
  <c r="W14" i="4"/>
  <c r="C15" i="4"/>
  <c r="E15" i="4"/>
  <c r="W15" i="4"/>
  <c r="C16" i="4"/>
  <c r="E16" i="4"/>
  <c r="W16" i="4"/>
  <c r="C17" i="4"/>
  <c r="E17" i="4"/>
  <c r="W17" i="4"/>
  <c r="C18" i="4"/>
  <c r="E18" i="4"/>
  <c r="W18" i="4"/>
  <c r="C19" i="4"/>
  <c r="E19" i="4"/>
  <c r="W19" i="4"/>
  <c r="C20" i="4"/>
  <c r="E20" i="4"/>
  <c r="W20" i="4"/>
  <c r="C21" i="4"/>
  <c r="E21" i="4"/>
  <c r="W21" i="4"/>
  <c r="C22" i="4"/>
  <c r="E22" i="4"/>
  <c r="W22" i="4"/>
  <c r="C23" i="4"/>
  <c r="E23" i="4"/>
  <c r="W23" i="4"/>
  <c r="C24" i="4"/>
  <c r="E24" i="4"/>
  <c r="W24" i="4"/>
  <c r="C25" i="4"/>
  <c r="E25" i="4"/>
  <c r="W25" i="4"/>
  <c r="C26" i="4"/>
  <c r="E26" i="4"/>
  <c r="W26" i="4"/>
  <c r="C27" i="4"/>
  <c r="E27" i="4"/>
  <c r="W27" i="4"/>
  <c r="C28" i="4"/>
  <c r="E28" i="4"/>
  <c r="W28" i="4"/>
  <c r="C29" i="4"/>
  <c r="E29" i="4"/>
  <c r="W29" i="4"/>
  <c r="C30" i="4"/>
  <c r="E30" i="4"/>
  <c r="W30" i="4"/>
  <c r="C31" i="4"/>
  <c r="E31" i="4"/>
  <c r="W31" i="4"/>
  <c r="C32" i="4"/>
  <c r="E32" i="4"/>
  <c r="W32" i="4"/>
  <c r="C33" i="4"/>
  <c r="E33" i="4"/>
  <c r="W33" i="4"/>
  <c r="C34" i="4"/>
  <c r="E34" i="4"/>
  <c r="W34" i="4"/>
  <c r="C35" i="4"/>
  <c r="E35" i="4"/>
  <c r="W35" i="4"/>
  <c r="C36" i="4"/>
  <c r="E36" i="4"/>
  <c r="W36" i="4"/>
  <c r="C37" i="4"/>
  <c r="E37" i="4"/>
  <c r="W37" i="4"/>
  <c r="C38" i="4"/>
  <c r="E38" i="4"/>
  <c r="W38" i="4"/>
  <c r="C39" i="4"/>
  <c r="E39" i="4"/>
  <c r="W39" i="4"/>
  <c r="R40" i="4"/>
  <c r="S40" i="4"/>
  <c r="B41" i="4"/>
  <c r="M41" i="4"/>
  <c r="M42" i="4"/>
  <c r="M43" i="4"/>
  <c r="M44" i="4"/>
  <c r="G45" i="4"/>
  <c r="X2" i="10"/>
  <c r="G3" i="10"/>
  <c r="X3" i="10"/>
  <c r="X4" i="10"/>
  <c r="X5" i="10"/>
  <c r="C9" i="10"/>
  <c r="E9" i="10"/>
  <c r="W9" i="10"/>
  <c r="C10" i="10"/>
  <c r="E10" i="10"/>
  <c r="W10" i="10"/>
  <c r="C11" i="10"/>
  <c r="E11" i="10"/>
  <c r="W11" i="10"/>
  <c r="C12" i="10"/>
  <c r="E12" i="10"/>
  <c r="W12" i="10"/>
  <c r="C13" i="10"/>
  <c r="E13" i="10"/>
  <c r="W13" i="10"/>
  <c r="C14" i="10"/>
  <c r="E14" i="10"/>
  <c r="W14" i="10"/>
  <c r="C15" i="10"/>
  <c r="E15" i="10"/>
  <c r="W15" i="10"/>
  <c r="C16" i="10"/>
  <c r="E16" i="10"/>
  <c r="W16" i="10"/>
  <c r="C17" i="10"/>
  <c r="E17" i="10"/>
  <c r="W17" i="10"/>
  <c r="C18" i="10"/>
  <c r="E18" i="10"/>
  <c r="W18" i="10"/>
  <c r="C19" i="10"/>
  <c r="E19" i="10"/>
  <c r="W19" i="10"/>
  <c r="C20" i="10"/>
  <c r="E20" i="10"/>
  <c r="W20" i="10"/>
  <c r="C21" i="10"/>
  <c r="E21" i="10"/>
  <c r="W21" i="10"/>
  <c r="C22" i="10"/>
  <c r="E22" i="10"/>
  <c r="W22" i="10"/>
  <c r="C23" i="10"/>
  <c r="E23" i="10"/>
  <c r="W23" i="10"/>
  <c r="C24" i="10"/>
  <c r="E24" i="10"/>
  <c r="W24" i="10"/>
  <c r="C25" i="10"/>
  <c r="E25" i="10"/>
  <c r="W25" i="10"/>
  <c r="C26" i="10"/>
  <c r="E26" i="10"/>
  <c r="W26" i="10"/>
  <c r="C27" i="10"/>
  <c r="E27" i="10"/>
  <c r="W27" i="10"/>
  <c r="C28" i="10"/>
  <c r="E28" i="10"/>
  <c r="W28" i="10"/>
  <c r="C29" i="10"/>
  <c r="E29" i="10"/>
  <c r="W29" i="10"/>
  <c r="C30" i="10"/>
  <c r="E30" i="10"/>
  <c r="W30" i="10"/>
  <c r="C31" i="10"/>
  <c r="E31" i="10"/>
  <c r="W31" i="10"/>
  <c r="C32" i="10"/>
  <c r="E32" i="10"/>
  <c r="W32" i="10"/>
  <c r="C33" i="10"/>
  <c r="E33" i="10"/>
  <c r="W33" i="10"/>
  <c r="C34" i="10"/>
  <c r="E34" i="10"/>
  <c r="W34" i="10"/>
  <c r="C35" i="10"/>
  <c r="E35" i="10"/>
  <c r="W35" i="10"/>
  <c r="C36" i="10"/>
  <c r="E36" i="10"/>
  <c r="W36" i="10"/>
  <c r="C37" i="10"/>
  <c r="E37" i="10"/>
  <c r="W37" i="10"/>
  <c r="C38" i="10"/>
  <c r="E38" i="10"/>
  <c r="W38" i="10"/>
  <c r="C39" i="10"/>
  <c r="E39" i="10"/>
  <c r="W39" i="10"/>
  <c r="R40" i="10"/>
  <c r="T40" i="10"/>
  <c r="B41" i="10"/>
  <c r="M41" i="10"/>
  <c r="M42" i="10"/>
  <c r="M43" i="10"/>
  <c r="M44" i="10"/>
  <c r="G45" i="10"/>
  <c r="X2" i="9"/>
  <c r="G3" i="9"/>
  <c r="X3" i="9"/>
  <c r="X4" i="9"/>
  <c r="X5" i="9"/>
  <c r="C9" i="9"/>
  <c r="E9" i="9"/>
  <c r="W9" i="9"/>
  <c r="C10" i="9"/>
  <c r="E10" i="9"/>
  <c r="W10" i="9"/>
  <c r="C11" i="9"/>
  <c r="E11" i="9"/>
  <c r="W11" i="9"/>
  <c r="C12" i="9"/>
  <c r="E12" i="9"/>
  <c r="W12" i="9"/>
  <c r="C13" i="9"/>
  <c r="E13" i="9"/>
  <c r="W13" i="9"/>
  <c r="C14" i="9"/>
  <c r="E14" i="9"/>
  <c r="W14" i="9"/>
  <c r="C15" i="9"/>
  <c r="E15" i="9"/>
  <c r="W15" i="9"/>
  <c r="C16" i="9"/>
  <c r="E16" i="9"/>
  <c r="W16" i="9"/>
  <c r="C17" i="9"/>
  <c r="E17" i="9"/>
  <c r="W17" i="9"/>
  <c r="C18" i="9"/>
  <c r="E18" i="9"/>
  <c r="W18" i="9"/>
  <c r="C19" i="9"/>
  <c r="E19" i="9"/>
  <c r="W19" i="9"/>
  <c r="C20" i="9"/>
  <c r="E20" i="9"/>
  <c r="W20" i="9"/>
  <c r="C21" i="9"/>
  <c r="E21" i="9"/>
  <c r="W21" i="9"/>
  <c r="C22" i="9"/>
  <c r="E22" i="9"/>
  <c r="W22" i="9"/>
  <c r="C23" i="9"/>
  <c r="E23" i="9"/>
  <c r="W23" i="9"/>
  <c r="C24" i="9"/>
  <c r="E24" i="9"/>
  <c r="W24" i="9"/>
  <c r="C25" i="9"/>
  <c r="E25" i="9"/>
  <c r="W25" i="9"/>
  <c r="C26" i="9"/>
  <c r="E26" i="9"/>
  <c r="W26" i="9"/>
  <c r="C27" i="9"/>
  <c r="E27" i="9"/>
  <c r="W27" i="9"/>
  <c r="C28" i="9"/>
  <c r="E28" i="9"/>
  <c r="W28" i="9"/>
  <c r="C29" i="9"/>
  <c r="E29" i="9"/>
  <c r="W29" i="9"/>
  <c r="C30" i="9"/>
  <c r="E30" i="9"/>
  <c r="W30" i="9"/>
  <c r="C31" i="9"/>
  <c r="E31" i="9"/>
  <c r="W31" i="9"/>
  <c r="C32" i="9"/>
  <c r="E32" i="9"/>
  <c r="W32" i="9"/>
  <c r="C33" i="9"/>
  <c r="E33" i="9"/>
  <c r="W33" i="9"/>
  <c r="C34" i="9"/>
  <c r="E34" i="9"/>
  <c r="W34" i="9"/>
  <c r="C35" i="9"/>
  <c r="E35" i="9"/>
  <c r="W35" i="9"/>
  <c r="C36" i="9"/>
  <c r="E36" i="9"/>
  <c r="W36" i="9"/>
  <c r="C37" i="9"/>
  <c r="E37" i="9"/>
  <c r="W37" i="9"/>
  <c r="C38" i="9"/>
  <c r="E38" i="9"/>
  <c r="W38" i="9"/>
  <c r="R40" i="9"/>
  <c r="T40" i="9"/>
  <c r="B41" i="9"/>
  <c r="M41" i="9"/>
  <c r="M42" i="9"/>
  <c r="M43" i="9"/>
  <c r="M44" i="9"/>
  <c r="G45" i="9"/>
  <c r="X2" i="8"/>
  <c r="G3" i="8"/>
  <c r="X3" i="8"/>
  <c r="X4" i="8"/>
  <c r="X5" i="8"/>
  <c r="C9" i="8"/>
  <c r="E9" i="8"/>
  <c r="W9" i="8"/>
  <c r="C10" i="8"/>
  <c r="E10" i="8"/>
  <c r="W10" i="8"/>
  <c r="C11" i="8"/>
  <c r="E11" i="8"/>
  <c r="W11" i="8"/>
  <c r="C12" i="8"/>
  <c r="E12" i="8"/>
  <c r="W12" i="8"/>
  <c r="C13" i="8"/>
  <c r="E13" i="8"/>
  <c r="W13" i="8"/>
  <c r="C14" i="8"/>
  <c r="E14" i="8"/>
  <c r="W14" i="8"/>
  <c r="C15" i="8"/>
  <c r="E15" i="8"/>
  <c r="W15" i="8"/>
  <c r="C16" i="8"/>
  <c r="E16" i="8"/>
  <c r="W16" i="8"/>
  <c r="C17" i="8"/>
  <c r="E17" i="8"/>
  <c r="W17" i="8"/>
  <c r="C18" i="8"/>
  <c r="E18" i="8"/>
  <c r="W18" i="8"/>
  <c r="C19" i="8"/>
  <c r="E19" i="8"/>
  <c r="W19" i="8"/>
  <c r="C20" i="8"/>
  <c r="E20" i="8"/>
  <c r="W20" i="8"/>
  <c r="C21" i="8"/>
  <c r="E21" i="8"/>
  <c r="W21" i="8"/>
  <c r="C22" i="8"/>
  <c r="E22" i="8"/>
  <c r="W22" i="8"/>
  <c r="C23" i="8"/>
  <c r="E23" i="8"/>
  <c r="W23" i="8"/>
  <c r="C24" i="8"/>
  <c r="E24" i="8"/>
  <c r="W24" i="8"/>
  <c r="C25" i="8"/>
  <c r="E25" i="8"/>
  <c r="W25" i="8"/>
  <c r="C26" i="8"/>
  <c r="E26" i="8"/>
  <c r="W26" i="8"/>
  <c r="C27" i="8"/>
  <c r="E27" i="8"/>
  <c r="W27" i="8"/>
  <c r="C28" i="8"/>
  <c r="E28" i="8"/>
  <c r="W28" i="8"/>
  <c r="C29" i="8"/>
  <c r="E29" i="8"/>
  <c r="W29" i="8"/>
  <c r="C30" i="8"/>
  <c r="E30" i="8"/>
  <c r="W30" i="8"/>
  <c r="C31" i="8"/>
  <c r="E31" i="8"/>
  <c r="W31" i="8"/>
  <c r="C32" i="8"/>
  <c r="E32" i="8"/>
  <c r="W32" i="8"/>
  <c r="C33" i="8"/>
  <c r="E33" i="8"/>
  <c r="W33" i="8"/>
  <c r="C34" i="8"/>
  <c r="E34" i="8"/>
  <c r="W34" i="8"/>
  <c r="C35" i="8"/>
  <c r="E35" i="8"/>
  <c r="W35" i="8"/>
  <c r="C36" i="8"/>
  <c r="E36" i="8"/>
  <c r="W36" i="8"/>
  <c r="C37" i="8"/>
  <c r="E37" i="8"/>
  <c r="W37" i="8"/>
  <c r="C38" i="8"/>
  <c r="E38" i="8"/>
  <c r="W38" i="8"/>
  <c r="C39" i="8"/>
  <c r="E39" i="8"/>
  <c r="W39" i="8"/>
  <c r="R40" i="8"/>
  <c r="T40" i="8"/>
  <c r="B41" i="8"/>
  <c r="M41" i="8"/>
  <c r="M42" i="8"/>
  <c r="M43" i="8"/>
  <c r="M44" i="8"/>
  <c r="G45" i="8"/>
  <c r="X2" i="6"/>
  <c r="G3" i="6"/>
  <c r="X3" i="6"/>
  <c r="X4" i="6"/>
  <c r="X5" i="6"/>
  <c r="C9" i="6"/>
  <c r="E9" i="6"/>
  <c r="W9" i="6"/>
  <c r="C10" i="6"/>
  <c r="E10" i="6"/>
  <c r="W10" i="6"/>
  <c r="C11" i="6"/>
  <c r="E11" i="6"/>
  <c r="W11" i="6"/>
  <c r="C12" i="6"/>
  <c r="E12" i="6"/>
  <c r="W12" i="6"/>
  <c r="C13" i="6"/>
  <c r="E13" i="6"/>
  <c r="W13" i="6"/>
  <c r="C14" i="6"/>
  <c r="E14" i="6"/>
  <c r="W14" i="6"/>
  <c r="C15" i="6"/>
  <c r="E15" i="6"/>
  <c r="W15" i="6"/>
  <c r="C16" i="6"/>
  <c r="E16" i="6"/>
  <c r="W16" i="6"/>
  <c r="C17" i="6"/>
  <c r="E17" i="6"/>
  <c r="W17" i="6"/>
  <c r="C18" i="6"/>
  <c r="E18" i="6"/>
  <c r="W18" i="6"/>
  <c r="C19" i="6"/>
  <c r="E19" i="6"/>
  <c r="W19" i="6"/>
  <c r="C20" i="6"/>
  <c r="E20" i="6"/>
  <c r="W20" i="6"/>
  <c r="C21" i="6"/>
  <c r="E21" i="6"/>
  <c r="W21" i="6"/>
  <c r="C22" i="6"/>
  <c r="E22" i="6"/>
  <c r="W22" i="6"/>
  <c r="C23" i="6"/>
  <c r="E23" i="6"/>
  <c r="W23" i="6"/>
  <c r="C24" i="6"/>
  <c r="E24" i="6"/>
  <c r="W24" i="6"/>
  <c r="C25" i="6"/>
  <c r="E25" i="6"/>
  <c r="W25" i="6"/>
  <c r="C26" i="6"/>
  <c r="E26" i="6"/>
  <c r="W26" i="6"/>
  <c r="C27" i="6"/>
  <c r="E27" i="6"/>
  <c r="W27" i="6"/>
  <c r="C28" i="6"/>
  <c r="E28" i="6"/>
  <c r="W28" i="6"/>
  <c r="C29" i="6"/>
  <c r="E29" i="6"/>
  <c r="W29" i="6"/>
  <c r="C30" i="6"/>
  <c r="E30" i="6"/>
  <c r="W30" i="6"/>
  <c r="C31" i="6"/>
  <c r="E31" i="6"/>
  <c r="W31" i="6"/>
  <c r="C32" i="6"/>
  <c r="E32" i="6"/>
  <c r="W32" i="6"/>
  <c r="C33" i="6"/>
  <c r="E33" i="6"/>
  <c r="W33" i="6"/>
  <c r="C34" i="6"/>
  <c r="E34" i="6"/>
  <c r="W34" i="6"/>
  <c r="C35" i="6"/>
  <c r="E35" i="6"/>
  <c r="W35" i="6"/>
  <c r="C36" i="6"/>
  <c r="E36" i="6"/>
  <c r="W36" i="6"/>
  <c r="C37" i="6"/>
  <c r="E37" i="6"/>
  <c r="W37" i="6"/>
  <c r="C38" i="6"/>
  <c r="E38" i="6"/>
  <c r="W38" i="6"/>
  <c r="C39" i="6"/>
  <c r="E39" i="6"/>
  <c r="W39" i="6"/>
  <c r="R40" i="6"/>
  <c r="T40" i="6"/>
  <c r="B41" i="6"/>
  <c r="M41" i="6"/>
  <c r="M42" i="6"/>
  <c r="M43" i="6"/>
  <c r="M44" i="6"/>
  <c r="G45" i="6"/>
  <c r="X2" i="14"/>
  <c r="G3" i="14"/>
  <c r="X3" i="14"/>
  <c r="X4" i="14"/>
  <c r="X5" i="14"/>
  <c r="C9" i="14"/>
  <c r="E9" i="14"/>
  <c r="W9" i="14"/>
  <c r="C10" i="14"/>
  <c r="E10" i="14"/>
  <c r="W10" i="14"/>
  <c r="C11" i="14"/>
  <c r="E11" i="14"/>
  <c r="W11" i="14"/>
  <c r="C12" i="14"/>
  <c r="E12" i="14"/>
  <c r="W12" i="14"/>
  <c r="C13" i="14"/>
  <c r="E13" i="14"/>
  <c r="W13" i="14"/>
  <c r="C14" i="14"/>
  <c r="E14" i="14"/>
  <c r="W14" i="14"/>
  <c r="C15" i="14"/>
  <c r="E15" i="14"/>
  <c r="W15" i="14"/>
  <c r="C16" i="14"/>
  <c r="E16" i="14"/>
  <c r="W16" i="14"/>
  <c r="C17" i="14"/>
  <c r="E17" i="14"/>
  <c r="W17" i="14"/>
  <c r="C18" i="14"/>
  <c r="E18" i="14"/>
  <c r="W18" i="14"/>
  <c r="C19" i="14"/>
  <c r="E19" i="14"/>
  <c r="W19" i="14"/>
  <c r="C20" i="14"/>
  <c r="E20" i="14"/>
  <c r="W20" i="14"/>
  <c r="C21" i="14"/>
  <c r="E21" i="14"/>
  <c r="W21" i="14"/>
  <c r="C22" i="14"/>
  <c r="E22" i="14"/>
  <c r="W22" i="14"/>
  <c r="C23" i="14"/>
  <c r="E23" i="14"/>
  <c r="W23" i="14"/>
  <c r="C24" i="14"/>
  <c r="E24" i="14"/>
  <c r="W24" i="14"/>
  <c r="C25" i="14"/>
  <c r="E25" i="14"/>
  <c r="W25" i="14"/>
  <c r="C26" i="14"/>
  <c r="E26" i="14"/>
  <c r="W26" i="14"/>
  <c r="C27" i="14"/>
  <c r="E27" i="14"/>
  <c r="W27" i="14"/>
  <c r="C28" i="14"/>
  <c r="E28" i="14"/>
  <c r="W28" i="14"/>
  <c r="C29" i="14"/>
  <c r="E29" i="14"/>
  <c r="W29" i="14"/>
  <c r="C30" i="14"/>
  <c r="E30" i="14"/>
  <c r="W30" i="14"/>
  <c r="C31" i="14"/>
  <c r="E31" i="14"/>
  <c r="W31" i="14"/>
  <c r="C32" i="14"/>
  <c r="E32" i="14"/>
  <c r="W32" i="14"/>
  <c r="C33" i="14"/>
  <c r="E33" i="14"/>
  <c r="W33" i="14"/>
  <c r="C34" i="14"/>
  <c r="E34" i="14"/>
  <c r="W34" i="14"/>
  <c r="C35" i="14"/>
  <c r="E35" i="14"/>
  <c r="W35" i="14"/>
  <c r="C36" i="14"/>
  <c r="E36" i="14"/>
  <c r="W36" i="14"/>
  <c r="C37" i="14"/>
  <c r="E37" i="14"/>
  <c r="W37" i="14"/>
  <c r="C38" i="14"/>
  <c r="E38" i="14"/>
  <c r="W38" i="14"/>
  <c r="R40" i="14"/>
  <c r="T40" i="14"/>
  <c r="B41" i="14"/>
  <c r="M41" i="14"/>
  <c r="M42" i="14"/>
  <c r="M43" i="14"/>
  <c r="M44" i="14"/>
  <c r="G45" i="14"/>
  <c r="X2" i="13"/>
  <c r="G3" i="13"/>
  <c r="X3" i="13"/>
  <c r="X4" i="13"/>
  <c r="X5" i="13"/>
  <c r="C9" i="13"/>
  <c r="E9" i="13"/>
  <c r="W9" i="13"/>
  <c r="C10" i="13"/>
  <c r="E10" i="13"/>
  <c r="W10" i="13"/>
  <c r="C11" i="13"/>
  <c r="E11" i="13"/>
  <c r="W11" i="13"/>
  <c r="C12" i="13"/>
  <c r="E12" i="13"/>
  <c r="W12" i="13"/>
  <c r="C13" i="13"/>
  <c r="E13" i="13"/>
  <c r="W13" i="13"/>
  <c r="C14" i="13"/>
  <c r="E14" i="13"/>
  <c r="W14" i="13"/>
  <c r="C15" i="13"/>
  <c r="E15" i="13"/>
  <c r="W15" i="13"/>
  <c r="C16" i="13"/>
  <c r="E16" i="13"/>
  <c r="W16" i="13"/>
  <c r="C17" i="13"/>
  <c r="E17" i="13"/>
  <c r="W17" i="13"/>
  <c r="C18" i="13"/>
  <c r="E18" i="13"/>
  <c r="W18" i="13"/>
  <c r="C19" i="13"/>
  <c r="E19" i="13"/>
  <c r="W19" i="13"/>
  <c r="C20" i="13"/>
  <c r="E20" i="13"/>
  <c r="W20" i="13"/>
  <c r="C21" i="13"/>
  <c r="E21" i="13"/>
  <c r="W21" i="13"/>
  <c r="C22" i="13"/>
  <c r="E22" i="13"/>
  <c r="W22" i="13"/>
  <c r="C23" i="13"/>
  <c r="E23" i="13"/>
  <c r="W23" i="13"/>
  <c r="C24" i="13"/>
  <c r="E24" i="13"/>
  <c r="W24" i="13"/>
  <c r="C25" i="13"/>
  <c r="E25" i="13"/>
  <c r="W25" i="13"/>
  <c r="C26" i="13"/>
  <c r="E26" i="13"/>
  <c r="W26" i="13"/>
  <c r="C27" i="13"/>
  <c r="E27" i="13"/>
  <c r="W27" i="13"/>
  <c r="C28" i="13"/>
  <c r="E28" i="13"/>
  <c r="W28" i="13"/>
  <c r="C29" i="13"/>
  <c r="E29" i="13"/>
  <c r="W29" i="13"/>
  <c r="C30" i="13"/>
  <c r="E30" i="13"/>
  <c r="W30" i="13"/>
  <c r="C31" i="13"/>
  <c r="E31" i="13"/>
  <c r="W31" i="13"/>
  <c r="C32" i="13"/>
  <c r="E32" i="13"/>
  <c r="W32" i="13"/>
  <c r="C33" i="13"/>
  <c r="E33" i="13"/>
  <c r="W33" i="13"/>
  <c r="C34" i="13"/>
  <c r="E34" i="13"/>
  <c r="W34" i="13"/>
  <c r="C35" i="13"/>
  <c r="E35" i="13"/>
  <c r="W35" i="13"/>
  <c r="C36" i="13"/>
  <c r="E36" i="13"/>
  <c r="W36" i="13"/>
  <c r="C37" i="13"/>
  <c r="E37" i="13"/>
  <c r="W37" i="13"/>
  <c r="C38" i="13"/>
  <c r="E38" i="13"/>
  <c r="W38" i="13"/>
  <c r="C39" i="13"/>
  <c r="E39" i="13"/>
  <c r="W39" i="13"/>
  <c r="R40" i="13"/>
  <c r="T40" i="13"/>
  <c r="B41" i="13"/>
  <c r="M41" i="13"/>
  <c r="M42" i="13"/>
  <c r="M43" i="13"/>
  <c r="M44" i="13"/>
  <c r="G45" i="13"/>
  <c r="B1" i="16"/>
  <c r="B2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L25" i="16"/>
  <c r="M25" i="16"/>
  <c r="N25" i="16"/>
  <c r="O25" i="16"/>
  <c r="M28" i="16"/>
  <c r="N28" i="16"/>
  <c r="B29" i="16"/>
  <c r="J29" i="16"/>
  <c r="N29" i="16"/>
  <c r="C30" i="16"/>
  <c r="J30" i="16"/>
  <c r="N30" i="16"/>
  <c r="N31" i="16"/>
  <c r="M32" i="16"/>
  <c r="N32" i="16"/>
  <c r="N33" i="16"/>
  <c r="B35" i="16"/>
  <c r="K45" i="16"/>
  <c r="X2" i="12"/>
  <c r="G3" i="12"/>
  <c r="X3" i="12"/>
  <c r="X4" i="12"/>
  <c r="X5" i="12"/>
  <c r="C9" i="12"/>
  <c r="E9" i="12"/>
  <c r="W9" i="12"/>
  <c r="C10" i="12"/>
  <c r="E10" i="12"/>
  <c r="W10" i="12"/>
  <c r="C11" i="12"/>
  <c r="E11" i="12"/>
  <c r="W11" i="12"/>
  <c r="C12" i="12"/>
  <c r="E12" i="12"/>
  <c r="W12" i="12"/>
  <c r="C13" i="12"/>
  <c r="E13" i="12"/>
  <c r="W13" i="12"/>
  <c r="C14" i="12"/>
  <c r="E14" i="12"/>
  <c r="W14" i="12"/>
  <c r="C15" i="12"/>
  <c r="E15" i="12"/>
  <c r="W15" i="12"/>
  <c r="C16" i="12"/>
  <c r="E16" i="12"/>
  <c r="W16" i="12"/>
  <c r="C17" i="12"/>
  <c r="E17" i="12"/>
  <c r="W17" i="12"/>
  <c r="C18" i="12"/>
  <c r="E18" i="12"/>
  <c r="W18" i="12"/>
  <c r="C19" i="12"/>
  <c r="E19" i="12"/>
  <c r="W19" i="12"/>
  <c r="C20" i="12"/>
  <c r="E20" i="12"/>
  <c r="W20" i="12"/>
  <c r="C21" i="12"/>
  <c r="E21" i="12"/>
  <c r="W21" i="12"/>
  <c r="C22" i="12"/>
  <c r="E22" i="12"/>
  <c r="W22" i="12"/>
  <c r="C23" i="12"/>
  <c r="E23" i="12"/>
  <c r="W23" i="12"/>
  <c r="C24" i="12"/>
  <c r="E24" i="12"/>
  <c r="W24" i="12"/>
  <c r="C25" i="12"/>
  <c r="E25" i="12"/>
  <c r="W25" i="12"/>
  <c r="C26" i="12"/>
  <c r="E26" i="12"/>
  <c r="W26" i="12"/>
  <c r="C27" i="12"/>
  <c r="E27" i="12"/>
  <c r="W27" i="12"/>
  <c r="C28" i="12"/>
  <c r="E28" i="12"/>
  <c r="W28" i="12"/>
  <c r="C29" i="12"/>
  <c r="E29" i="12"/>
  <c r="W29" i="12"/>
  <c r="C30" i="12"/>
  <c r="E30" i="12"/>
  <c r="W30" i="12"/>
  <c r="C31" i="12"/>
  <c r="E31" i="12"/>
  <c r="W31" i="12"/>
  <c r="C32" i="12"/>
  <c r="E32" i="12"/>
  <c r="W32" i="12"/>
  <c r="C33" i="12"/>
  <c r="E33" i="12"/>
  <c r="W33" i="12"/>
  <c r="C34" i="12"/>
  <c r="E34" i="12"/>
  <c r="W34" i="12"/>
  <c r="C35" i="12"/>
  <c r="E35" i="12"/>
  <c r="W35" i="12"/>
  <c r="C36" i="12"/>
  <c r="E36" i="12"/>
  <c r="W36" i="12"/>
  <c r="C37" i="12"/>
  <c r="E37" i="12"/>
  <c r="W37" i="12"/>
  <c r="C38" i="12"/>
  <c r="E38" i="12"/>
  <c r="W38" i="12"/>
  <c r="R40" i="12"/>
  <c r="T40" i="12"/>
  <c r="B41" i="12"/>
  <c r="M41" i="12"/>
  <c r="M42" i="12"/>
  <c r="M43" i="12"/>
  <c r="M45" i="12"/>
  <c r="G45" i="12"/>
  <c r="D11" i="3"/>
  <c r="D12" i="3"/>
  <c r="B18" i="3"/>
  <c r="F18" i="3"/>
  <c r="G23" i="3"/>
  <c r="B28" i="3"/>
  <c r="C33" i="3"/>
  <c r="G33" i="3"/>
  <c r="C35" i="3"/>
  <c r="G35" i="3"/>
  <c r="C37" i="3"/>
  <c r="G37" i="3"/>
  <c r="D38" i="3"/>
  <c r="D39" i="3"/>
  <c r="D41" i="3"/>
  <c r="H41" i="3"/>
  <c r="E43" i="3"/>
  <c r="B45" i="3"/>
  <c r="F45" i="3"/>
  <c r="G50" i="3"/>
</calcChain>
</file>

<file path=xl/sharedStrings.xml><?xml version="1.0" encoding="utf-8"?>
<sst xmlns="http://schemas.openxmlformats.org/spreadsheetml/2006/main" count="722" uniqueCount="201">
  <si>
    <t>DIÖZESE GURK</t>
  </si>
  <si>
    <t xml:space="preserve">Dienststundennachweis für </t>
  </si>
  <si>
    <t xml:space="preserve">   Die aktuelle Jahreszahl eingeben!</t>
  </si>
  <si>
    <t>Für:</t>
  </si>
  <si>
    <t>Dienststelle:</t>
  </si>
  <si>
    <t>Jänner</t>
  </si>
  <si>
    <t xml:space="preserve">h/Tag  </t>
  </si>
  <si>
    <t>Feber</t>
  </si>
  <si>
    <t>März</t>
  </si>
  <si>
    <t>April</t>
  </si>
  <si>
    <t>Mai</t>
  </si>
  <si>
    <t>Juni</t>
  </si>
  <si>
    <t xml:space="preserve">    a = J Mod 19</t>
  </si>
  <si>
    <t>h</t>
  </si>
  <si>
    <t>Montag:</t>
  </si>
  <si>
    <t xml:space="preserve">    b = J Mod 4</t>
  </si>
  <si>
    <r>
      <t>ï</t>
    </r>
    <r>
      <rPr>
        <sz val="8"/>
        <rFont val="Arial"/>
        <family val="2"/>
      </rPr>
      <t xml:space="preserve"> Den verbleibenden Resturlaub in Stunden per 31.12. des Vorjahres eintragen.</t>
    </r>
  </si>
  <si>
    <t>Dienstag:</t>
  </si>
  <si>
    <t xml:space="preserve">    c = J Mod 7</t>
  </si>
  <si>
    <t>Mittwoch:</t>
  </si>
  <si>
    <t xml:space="preserve">    d = (19 * a + 24) Mod 30</t>
  </si>
  <si>
    <t>Donnerstag:</t>
  </si>
  <si>
    <t xml:space="preserve">    e = (2 * b + 4 * c + 6 * d + 5) Mod 7</t>
  </si>
  <si>
    <t>Freitag:</t>
  </si>
  <si>
    <t xml:space="preserve">         OT = 22 + d + e</t>
  </si>
  <si>
    <t>Samstag:</t>
  </si>
  <si>
    <t xml:space="preserve">    If OT &gt; 31 Then</t>
  </si>
  <si>
    <t>Generelle</t>
  </si>
  <si>
    <t>Wochenzeit</t>
  </si>
  <si>
    <t xml:space="preserve">       OT = d + e - 9</t>
  </si>
  <si>
    <t>Arbeitszeiten:</t>
  </si>
  <si>
    <t>Korrektur Urlaub</t>
  </si>
  <si>
    <t xml:space="preserve">       OM = 4</t>
  </si>
  <si>
    <t xml:space="preserve">Wenn sich während des Jahres das Beschäftigungsausmaß ändern sollte, </t>
  </si>
  <si>
    <t>Arbeitszeitmodell</t>
  </si>
  <si>
    <t xml:space="preserve">    End If</t>
  </si>
  <si>
    <t>dann ist dies in den betreffenden Monaten zu korrigieren!</t>
  </si>
  <si>
    <t xml:space="preserve">    If OT = 26 And OM = 4 Then</t>
  </si>
  <si>
    <t>Um die Korrektur vorzunehmen wenden Sie sich bitte an das Lohnbüro.</t>
  </si>
  <si>
    <t xml:space="preserve">       OT = 19</t>
  </si>
  <si>
    <t>Juli</t>
  </si>
  <si>
    <t>August</t>
  </si>
  <si>
    <t>September</t>
  </si>
  <si>
    <t>Oktober</t>
  </si>
  <si>
    <t>November</t>
  </si>
  <si>
    <t>Dezember</t>
  </si>
  <si>
    <t xml:space="preserve">    If OT = 25 And OM = 4 And d = 28 And e = 6 And a &gt; 10 Then</t>
  </si>
  <si>
    <t xml:space="preserve">Wochenarbeitszeit:  </t>
  </si>
  <si>
    <t xml:space="preserve">       OT = 18</t>
  </si>
  <si>
    <t>Arbeitstage pro Woche:</t>
  </si>
  <si>
    <t>Tage</t>
  </si>
  <si>
    <t>J=Jahreszahl</t>
  </si>
  <si>
    <t>Definieren Sie dass auf Sie zutreffende Arbeitszeitmodell:</t>
  </si>
  <si>
    <t>1 = Fixe Arbeitszeit    2 = Gleitende Arbeitszeit    3 = Flexible Arbeitszeit</t>
  </si>
  <si>
    <t>Arbeitszeitmodell:</t>
  </si>
  <si>
    <t>Unmittelbarer Vorgesetzter:</t>
  </si>
  <si>
    <t>Die auf Sie zutreffenden Dienstfreien Tage sind mit der Ziffer 1 kennzuzeichnen</t>
  </si>
  <si>
    <t>Die "blau-geschriebenen" Tage, die für Sie nicht dienstfrei sind dürfen kein Zeichen bzw. Ziffer aufweisen!</t>
  </si>
  <si>
    <t>Neujahr</t>
  </si>
  <si>
    <t>Hl. drei Könige</t>
  </si>
  <si>
    <t>Josefitag</t>
  </si>
  <si>
    <t>Karfreitag</t>
  </si>
  <si>
    <t>Ostermontag</t>
  </si>
  <si>
    <t>Staatsfeiertag</t>
  </si>
  <si>
    <t>Christi Himmelfahrt</t>
  </si>
  <si>
    <t>Pfingstmontag</t>
  </si>
  <si>
    <t>Dienstag nach Pfingsten</t>
  </si>
  <si>
    <t>Fronleichnam</t>
  </si>
  <si>
    <t>Maria Himmelfahrt</t>
  </si>
  <si>
    <t>Nationalfeiertag</t>
  </si>
  <si>
    <t>Allerheiligen</t>
  </si>
  <si>
    <t>Allerseelen</t>
  </si>
  <si>
    <t>Maria Empfängnis</t>
  </si>
  <si>
    <t>Hl. Abend</t>
  </si>
  <si>
    <t>Christtag</t>
  </si>
  <si>
    <t>Stephanitag</t>
  </si>
  <si>
    <t>Silvester</t>
  </si>
  <si>
    <t>An das Lohnbüro der DIÖZESE GURK</t>
  </si>
  <si>
    <t>Mariannengasse 2, 9010 Klagenfurt</t>
  </si>
  <si>
    <t>Meldung</t>
  </si>
  <si>
    <t>X</t>
  </si>
  <si>
    <t xml:space="preserve"> Urlaub</t>
  </si>
  <si>
    <t>Bestätigung</t>
  </si>
  <si>
    <r>
      <t xml:space="preserve"> Sonderurlaub </t>
    </r>
    <r>
      <rPr>
        <sz val="8"/>
        <rFont val="Arial"/>
        <family val="2"/>
      </rPr>
      <t>(unbezahlt)</t>
    </r>
  </si>
  <si>
    <t xml:space="preserve"> Zeitausgleich</t>
  </si>
  <si>
    <t xml:space="preserve"> Pflegeurlaub</t>
  </si>
  <si>
    <r>
      <t xml:space="preserve"> Freizeitgewährung </t>
    </r>
    <r>
      <rPr>
        <sz val="8"/>
        <rFont val="Arial"/>
        <family val="2"/>
      </rPr>
      <t>(bezahlt)</t>
    </r>
  </si>
  <si>
    <t xml:space="preserve"> Dienstreise</t>
  </si>
  <si>
    <t>Dienstnehmer/-in:</t>
  </si>
  <si>
    <t>Abwesenheit von</t>
  </si>
  <si>
    <t>TT.MM.JJJJ</t>
  </si>
  <si>
    <t>bis</t>
  </si>
  <si>
    <t>Der genannte Zeitraum umfasst</t>
  </si>
  <si>
    <t xml:space="preserve">  Arbeitsstunden.</t>
  </si>
  <si>
    <t xml:space="preserve">  Arbeitsstunden</t>
  </si>
  <si>
    <t>Bestätigung des unmittelbaren</t>
  </si>
  <si>
    <t>Dienstgeber</t>
  </si>
  <si>
    <t>Dienstnehmer</t>
  </si>
  <si>
    <t>Vorgesetzten</t>
  </si>
  <si>
    <t>%</t>
  </si>
  <si>
    <t xml:space="preserve">  Stunden</t>
  </si>
  <si>
    <t>Dienststundennachweis für</t>
  </si>
  <si>
    <t>Arbeitszeit</t>
  </si>
  <si>
    <t>Unterbrechung(en)</t>
  </si>
  <si>
    <t>Aufwertung</t>
  </si>
  <si>
    <t>Krank</t>
  </si>
  <si>
    <t>Urlaub</t>
  </si>
  <si>
    <t>Norm.</t>
  </si>
  <si>
    <t>Aufw.</t>
  </si>
  <si>
    <t>Tages</t>
  </si>
  <si>
    <t>Tätigkeiten</t>
  </si>
  <si>
    <t>von</t>
  </si>
  <si>
    <t>1 : 2</t>
  </si>
  <si>
    <t>STD</t>
  </si>
  <si>
    <r>
      <t xml:space="preserve">Summe Monatsstunden </t>
    </r>
    <r>
      <rPr>
        <sz val="8"/>
        <rFont val="Arial"/>
        <family val="2"/>
      </rPr>
      <t>(inkl. Urlaub/Krankenstand)</t>
    </r>
  </si>
  <si>
    <t xml:space="preserve"> Auszahlung Über-/Mehrstunden:</t>
  </si>
  <si>
    <t xml:space="preserve"> Vermerke:</t>
  </si>
  <si>
    <t xml:space="preserve"> Ausgezahlt am :</t>
  </si>
  <si>
    <t xml:space="preserve"> Ausgedruckt am:</t>
  </si>
  <si>
    <t>:</t>
  </si>
  <si>
    <t>Datum</t>
  </si>
  <si>
    <t>Dauer</t>
  </si>
  <si>
    <t>Zweck der</t>
  </si>
  <si>
    <t>R e i s e w e g</t>
  </si>
  <si>
    <t>Projekt-</t>
  </si>
  <si>
    <t>Mit-</t>
  </si>
  <si>
    <t>WEGSTRECKE (km)</t>
  </si>
  <si>
    <t>KOSTEN</t>
  </si>
  <si>
    <t>Übernachtung(en)</t>
  </si>
  <si>
    <t>der Reise</t>
  </si>
  <si>
    <t>Beginn</t>
  </si>
  <si>
    <t>Ende</t>
  </si>
  <si>
    <t>Dienstreise</t>
  </si>
  <si>
    <t>von - nach</t>
  </si>
  <si>
    <t>nummer</t>
  </si>
  <si>
    <t>fahrer</t>
  </si>
  <si>
    <t>LSt-frei</t>
  </si>
  <si>
    <t>LSt-pfl.</t>
  </si>
  <si>
    <t>öffentl. V.-Mittel</t>
  </si>
  <si>
    <t>Selbstverpflegung</t>
  </si>
  <si>
    <t>Ich versichere, dass alle Angaben der Wahrheit entsprechen und für diese Kosten von keiner anderen Stelle Ersatz geleistet wird.</t>
  </si>
  <si>
    <t>KOSTENBERECHNUNG:</t>
  </si>
  <si>
    <t>€/km</t>
  </si>
  <si>
    <t>Betrag</t>
  </si>
  <si>
    <t xml:space="preserve">Kostenersatz öffentl. Verkehrsmittel </t>
  </si>
  <si>
    <t>Fahrtkosten LSt.-Frei</t>
  </si>
  <si>
    <t>Fahrtkosten LSt.-pflichtig</t>
  </si>
  <si>
    <t>Mitfahrer (pro km und Mitfahrer)</t>
  </si>
  <si>
    <r>
      <t xml:space="preserve">Übernachtungs-/Selbstverpflegungkosten </t>
    </r>
    <r>
      <rPr>
        <sz val="8"/>
        <rFont val="Arial"/>
        <family val="2"/>
      </rPr>
      <t>(lt. Belegen)</t>
    </r>
  </si>
  <si>
    <t>Summe Reisekosten:</t>
  </si>
  <si>
    <t>Bearbeitungsvermerk</t>
  </si>
  <si>
    <t>Finanzkammer:</t>
  </si>
  <si>
    <t>Erläuterungen zum Ausfüllen des Antrags:</t>
  </si>
  <si>
    <t>Text</t>
  </si>
  <si>
    <t>Ort Abfahrt - Reiseziel - Ort Rückkehr</t>
  </si>
  <si>
    <t>Projektnummer:</t>
  </si>
  <si>
    <t>Ist der Zweck der Fahrt projektbezogen, dann ist die jeweilige Projektnummer einzutragen.</t>
  </si>
  <si>
    <t>Mitfahrer:</t>
  </si>
  <si>
    <t>Werden Personen mitgenommen, dann ist die Anzahl der mitgenommenen Personen in der Spalte "Mitfahrer" einzutragen.</t>
  </si>
  <si>
    <t>KOSTEN öffentl. V.-Mittel:</t>
  </si>
  <si>
    <t>Erfolgt die Reise mit einem öffentlichen Verkehrsmittel, dann sind die angefallen Kosten (sofern diese selbst bezahlt wurden) einzutragen und der Beleg.</t>
  </si>
  <si>
    <t>ist beizulegen.</t>
  </si>
  <si>
    <t>Erfolgte die Reise mit dem Privat-PKW und es wurde die Reise nur mittels öffentlichen Verkehrsmittel genehmigt, dann können nur die Kosten des</t>
  </si>
  <si>
    <t>öffentlichen Verkehrsmittels (Tarif laut Vorteils- oder Businesscard) verrechnet werden.</t>
  </si>
  <si>
    <t>Selbstverpflegung:</t>
  </si>
  <si>
    <t>Kosten für Übernachtung(en) und Selbstverpflegung sind betragsmäßig entsprechend einzutragen. Die Belege dazu sind dem Antrag beizulegen.</t>
  </si>
  <si>
    <t>Januar</t>
  </si>
  <si>
    <t>Februar</t>
  </si>
  <si>
    <t>Bei den angeführten Wochentagen ist die Normalarbeitszeit pro Tag einzugeben.</t>
  </si>
  <si>
    <t xml:space="preserve">     Gibt es weitere freie Tag(e) in der Woche, dann ist bei diesen der Wert   0,00    hineinzuschreiben.</t>
  </si>
  <si>
    <t>Funktion:</t>
  </si>
  <si>
    <r>
      <t>ï</t>
    </r>
    <r>
      <rPr>
        <sz val="7"/>
        <rFont val="Arial"/>
        <family val="2"/>
      </rPr>
      <t xml:space="preserve"> Finanzkammer/Ordinariat/Bischöfliches Seelsorgeamt /Pfarre etc. eingeben.</t>
    </r>
  </si>
  <si>
    <t xml:space="preserve">     Beim Tag, der als Ersatzruhetag definiert wird, ist das Wort  Ersatzruhetag  hineinzuschreiben. (Gilt für PastoralassistenInnen, Pastoralhilfen und Pastoralbetreuer)</t>
  </si>
  <si>
    <t xml:space="preserve">     Dieser Wochentag sollte dann in den Monatsblättern färbig gekennzeichnet sein. Wenn das nicht der Fall ist, dann wurde das Wort Ersatzruhetag falsch geschrieben.</t>
  </si>
  <si>
    <t>Pfingstruhetag</t>
  </si>
  <si>
    <t>19. März</t>
  </si>
  <si>
    <t>Dienstag nach Ostern</t>
  </si>
  <si>
    <t>MitarbeiterInnen der Zentralstellen:</t>
  </si>
  <si>
    <t>MitarbeiterInnen in pastoralen Einrichtungen:</t>
  </si>
  <si>
    <t>2. November</t>
  </si>
  <si>
    <t>24. Dezember</t>
  </si>
  <si>
    <t>31. Dezember</t>
  </si>
  <si>
    <t>Regelung der Dienstfreien Tage</t>
  </si>
  <si>
    <t>und unter Tätigkeiten "Dienstfreier Tag" zu vermerken.</t>
  </si>
  <si>
    <t>(Am zusätzlichen freien Tag ist in der ZK die Normalarbeitszeit zu schreiben</t>
  </si>
  <si>
    <t>Zusätzlicher mit dem Pfarrer zu vereinbarender Tag</t>
  </si>
  <si>
    <r>
      <t xml:space="preserve">Fixe Arbeitszeit  </t>
    </r>
    <r>
      <rPr>
        <sz val="10"/>
        <color indexed="55"/>
        <rFont val="Arial"/>
        <family val="2"/>
      </rPr>
      <t>(Zeiten ohne Aufwertung: Mo-Fr:  06.00 - 20.00 Uhr  -  Sa:  06.00 - 13.00 Uhr)</t>
    </r>
  </si>
  <si>
    <r>
      <t xml:space="preserve">Gleitende Arbeitszeit  </t>
    </r>
    <r>
      <rPr>
        <sz val="10"/>
        <color indexed="55"/>
        <rFont val="Arial"/>
        <family val="2"/>
      </rPr>
      <t>(Zeiten ohne Aufwertung: Mo-Fr:  06.00 - 20.00 Uhr  -  Sa:  06.00 - 13.00 Uhr)</t>
    </r>
  </si>
  <si>
    <r>
      <t xml:space="preserve">Flexible Arbeitszeit  </t>
    </r>
    <r>
      <rPr>
        <sz val="10"/>
        <color indexed="55"/>
        <rFont val="Arial"/>
        <family val="2"/>
      </rPr>
      <t>(Zeiten ohne Aufwertung: Mo-Fr:  06.00 - 22.00 Uhr  -  Sa:  06.00 - 18.00 Uhr)</t>
    </r>
  </si>
  <si>
    <t>Kirchenmusiker</t>
  </si>
  <si>
    <t>+0,66</t>
  </si>
  <si>
    <t>Aufw. 0,66</t>
  </si>
  <si>
    <t>Sonntag:</t>
  </si>
  <si>
    <t xml:space="preserve">         OM = 3</t>
  </si>
  <si>
    <t>OM= Monat des Ostersonntags</t>
  </si>
  <si>
    <t>OT=Tag des Ostersonntags innerhalb des Monats.</t>
  </si>
  <si>
    <t>Ostersonntag</t>
  </si>
  <si>
    <t>Vorname Familienname</t>
  </si>
  <si>
    <t>Name des Vorgesetzten</t>
  </si>
  <si>
    <t>Pfarre</t>
  </si>
  <si>
    <r>
      <t>ï</t>
    </r>
    <r>
      <rPr>
        <sz val="8"/>
        <rFont val="Arial"/>
        <family val="2"/>
      </rPr>
      <t xml:space="preserve"> Z.B. 25 Tage = 5 Wochen  -  bei einer Wochenarbeitszeit von 38 h ergeben sich dann 190 h Urlaubsanspruch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</si>
</sst>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#,##0.00&quot;  &quot;"/>
    <numFmt numFmtId="165" formatCode="0.00\ "/>
    <numFmt numFmtId="166" formatCode="0&quot;    &quot;"/>
    <numFmt numFmtId="167" formatCode="ddd&quot;, &quot;dd/mmm/yyyy"/>
    <numFmt numFmtId="168" formatCode="mmmm\ yyyy"/>
    <numFmt numFmtId="169" formatCode="0.00&quot; h&quot;"/>
    <numFmt numFmtId="170" formatCode="d/"/>
    <numFmt numFmtId="171" formatCode="ddd"/>
    <numFmt numFmtId="172" formatCode="0.00&quot;  &quot;"/>
    <numFmt numFmtId="173" formatCode="0.00&quot; h &quot;"/>
    <numFmt numFmtId="174" formatCode="#,##0&quot;  &quot;"/>
    <numFmt numFmtId="175" formatCode="&quot;&quot;;&quot;&quot;;&quot;&quot;;&quot;&quot;"/>
    <numFmt numFmtId="176" formatCode="0.00&quot;  h &quot;"/>
    <numFmt numFmtId="177" formatCode="#,###.00&quot;  h &quot;"/>
    <numFmt numFmtId="178" formatCode="#,##0.00\ "/>
    <numFmt numFmtId="179" formatCode="#,##0.00&quot; € &quot;"/>
    <numFmt numFmtId="180" formatCode="#,##0.00&quot; €&quot;"/>
    <numFmt numFmtId="181" formatCode="#,##0.00&quot; €   &quot;"/>
    <numFmt numFmtId="182" formatCode="#,##0.00&quot; km&quot;"/>
    <numFmt numFmtId="183" formatCode="0.00&quot;  h    &quot;"/>
    <numFmt numFmtId="184" formatCode="#,##0.00&quot;  h&quot;"/>
    <numFmt numFmtId="185" formatCode="#,##0.00&quot;  h    &quot;"/>
    <numFmt numFmtId="186" formatCode="0.00&quot;  h&quot;"/>
    <numFmt numFmtId="187" formatCode="#,##0.00&quot; Wochen&quot;"/>
    <numFmt numFmtId="188" formatCode="ddd/d"/>
    <numFmt numFmtId="189" formatCode="0.00&quot;          &quot;"/>
    <numFmt numFmtId="190" formatCode="#,###&quot;  h &quot;"/>
    <numFmt numFmtId="191" formatCode="ddd\,\ dd/mmm/yyyy"/>
  </numFmts>
  <fonts count="99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name val="Arial CE"/>
      <family val="2"/>
    </font>
    <font>
      <b/>
      <sz val="26"/>
      <name val="Arial CE"/>
      <family val="2"/>
    </font>
    <font>
      <b/>
      <sz val="20"/>
      <name val="Arial CE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7"/>
      <name val="Wingdings"/>
      <charset val="2"/>
    </font>
    <font>
      <sz val="7"/>
      <name val="Arial"/>
      <family val="2"/>
    </font>
    <font>
      <b/>
      <i/>
      <sz val="14"/>
      <name val="Arial CE"/>
      <family val="2"/>
    </font>
    <font>
      <b/>
      <sz val="14"/>
      <name val="Arial CE"/>
      <family val="2"/>
    </font>
    <font>
      <sz val="7"/>
      <color indexed="23"/>
      <name val="Arial"/>
      <family val="2"/>
    </font>
    <font>
      <b/>
      <i/>
      <sz val="20"/>
      <name val="Arial CE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22"/>
      <name val="Arial"/>
      <family val="2"/>
    </font>
    <font>
      <sz val="8"/>
      <color indexed="22"/>
      <name val="Arial Unicode MS"/>
      <family val="2"/>
    </font>
    <font>
      <sz val="11"/>
      <name val="Arial"/>
      <family val="2"/>
    </font>
    <font>
      <sz val="8"/>
      <name val="Wingdings"/>
      <charset val="2"/>
    </font>
    <font>
      <b/>
      <sz val="14"/>
      <color indexed="10"/>
      <name val="Arial"/>
      <family val="2"/>
    </font>
    <font>
      <b/>
      <sz val="7"/>
      <color indexed="22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7"/>
      <color indexed="22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4"/>
      <name val="Wingdings"/>
      <charset val="2"/>
    </font>
    <font>
      <b/>
      <sz val="11"/>
      <color indexed="12"/>
      <name val="Arial"/>
      <family val="2"/>
    </font>
    <font>
      <i/>
      <sz val="12"/>
      <name val="Arial CE"/>
      <family val="2"/>
    </font>
    <font>
      <b/>
      <u/>
      <sz val="10"/>
      <name val="Arial"/>
      <family val="2"/>
    </font>
    <font>
      <i/>
      <sz val="8"/>
      <name val="Arial CE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10"/>
      <name val="Arial CE"/>
      <family val="2"/>
    </font>
    <font>
      <b/>
      <sz val="11"/>
      <name val="Arial CE"/>
      <family val="2"/>
    </font>
    <font>
      <sz val="8"/>
      <name val="Arial CE"/>
      <family val="2"/>
    </font>
    <font>
      <b/>
      <sz val="10"/>
      <color indexed="10"/>
      <name val="Wingdings"/>
      <charset val="2"/>
    </font>
    <font>
      <b/>
      <i/>
      <sz val="8"/>
      <name val="Arial CE"/>
      <family val="2"/>
    </font>
    <font>
      <b/>
      <sz val="8"/>
      <color indexed="12"/>
      <name val="Arial CE"/>
      <family val="2"/>
    </font>
    <font>
      <b/>
      <i/>
      <sz val="8"/>
      <color indexed="12"/>
      <name val="Arial CE"/>
      <family val="2"/>
    </font>
    <font>
      <sz val="10"/>
      <color indexed="10"/>
      <name val="Arial"/>
      <family val="2"/>
    </font>
    <font>
      <b/>
      <sz val="8"/>
      <name val="Arial CE"/>
      <family val="2"/>
    </font>
    <font>
      <sz val="7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name val="Wingdings 2"/>
      <family val="1"/>
      <charset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4"/>
      <color indexed="23"/>
      <name val="Arial"/>
      <family val="2"/>
    </font>
    <font>
      <b/>
      <sz val="7"/>
      <color indexed="17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b/>
      <vertAlign val="superscript"/>
      <sz val="12"/>
      <name val="Arial"/>
      <family val="2"/>
    </font>
    <font>
      <sz val="10"/>
      <color indexed="9"/>
      <name val="Arial"/>
      <family val="2"/>
    </font>
    <font>
      <sz val="7.5"/>
      <color indexed="12"/>
      <name val="Arial"/>
      <family val="2"/>
    </font>
    <font>
      <b/>
      <sz val="7.5"/>
      <color indexed="16"/>
      <name val="Arial"/>
      <family val="2"/>
    </font>
    <font>
      <sz val="6"/>
      <color indexed="9"/>
      <name val="Arial"/>
      <family val="2"/>
    </font>
    <font>
      <b/>
      <sz val="8"/>
      <color indexed="8"/>
      <name val="Arial"/>
      <family val="2"/>
    </font>
    <font>
      <sz val="7"/>
      <color indexed="21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sz val="10"/>
      <color indexed="17"/>
      <name val="Arial"/>
      <family val="2"/>
    </font>
    <font>
      <b/>
      <sz val="14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sz val="10"/>
      <color indexed="23"/>
      <name val="Arial"/>
      <family val="2"/>
    </font>
    <font>
      <sz val="7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sz val="12"/>
      <color indexed="20"/>
      <name val="Arial"/>
      <family val="2"/>
    </font>
    <font>
      <b/>
      <sz val="8"/>
      <color indexed="57"/>
      <name val="Arial"/>
      <family val="2"/>
    </font>
    <font>
      <sz val="12"/>
      <color indexed="57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</font>
    <font>
      <sz val="8"/>
      <color indexed="22"/>
      <name val="Arial Unicode MS"/>
      <family val="2"/>
    </font>
    <font>
      <sz val="8"/>
      <name val="Arial CE"/>
    </font>
    <font>
      <i/>
      <sz val="8"/>
      <name val="Arial CE"/>
    </font>
    <font>
      <sz val="8"/>
      <color indexed="22"/>
      <name val="Arial"/>
      <family val="2"/>
    </font>
    <font>
      <sz val="10"/>
      <color indexed="22"/>
      <name val="Arial"/>
      <family val="2"/>
    </font>
    <font>
      <sz val="8"/>
      <name val="Arial CE"/>
      <family val="2"/>
      <charset val="238"/>
    </font>
    <font>
      <b/>
      <sz val="8"/>
      <name val="Arial CE"/>
    </font>
    <font>
      <b/>
      <i/>
      <sz val="8"/>
      <name val="Arial CE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12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12"/>
      </left>
      <right style="thin">
        <color indexed="8"/>
      </right>
      <top style="medium">
        <color indexed="12"/>
      </top>
      <bottom/>
      <diagonal/>
    </border>
    <border>
      <left style="thin">
        <color indexed="8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hair">
        <color indexed="8"/>
      </left>
      <right/>
      <top style="medium">
        <color indexed="12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4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2" borderId="1" xfId="1" applyFont="1" applyFill="1" applyBorder="1" applyAlignment="1">
      <alignment horizontal="left"/>
    </xf>
    <xf numFmtId="0" fontId="4" fillId="2" borderId="2" xfId="1" applyFont="1" applyFill="1" applyBorder="1"/>
    <xf numFmtId="0" fontId="5" fillId="2" borderId="2" xfId="1" applyFont="1" applyFill="1" applyBorder="1"/>
    <xf numFmtId="0" fontId="6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4" fillId="0" borderId="0" xfId="1" applyFont="1" applyAlignment="1">
      <alignment horizontal="right"/>
    </xf>
    <xf numFmtId="0" fontId="4" fillId="0" borderId="0" xfId="1" applyFont="1"/>
    <xf numFmtId="0" fontId="7" fillId="2" borderId="4" xfId="0" applyFont="1" applyFill="1" applyBorder="1" applyProtection="1">
      <protection locked="0"/>
    </xf>
    <xf numFmtId="0" fontId="0" fillId="2" borderId="0" xfId="0" applyFill="1"/>
    <xf numFmtId="0" fontId="8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0" fillId="0" borderId="0" xfId="1" applyFont="1" applyAlignment="1">
      <alignment horizontal="left"/>
    </xf>
    <xf numFmtId="0" fontId="10" fillId="0" borderId="0" xfId="1" applyFont="1"/>
    <xf numFmtId="1" fontId="11" fillId="0" borderId="9" xfId="1" applyNumberFormat="1" applyFon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1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18" fillId="0" borderId="0" xfId="0" applyNumberFormat="1" applyFont="1"/>
    <xf numFmtId="0" fontId="19" fillId="0" borderId="0" xfId="0" applyFont="1"/>
    <xf numFmtId="164" fontId="14" fillId="2" borderId="9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" fillId="2" borderId="11" xfId="0" applyFont="1" applyFill="1" applyBorder="1" applyAlignment="1">
      <alignment horizontal="left"/>
    </xf>
    <xf numFmtId="164" fontId="24" fillId="2" borderId="12" xfId="0" applyNumberFormat="1" applyFont="1" applyFill="1" applyBorder="1"/>
    <xf numFmtId="0" fontId="23" fillId="0" borderId="0" xfId="0" applyFont="1" applyAlignment="1">
      <alignment horizontal="center"/>
    </xf>
    <xf numFmtId="0" fontId="6" fillId="0" borderId="0" xfId="0" applyFont="1"/>
    <xf numFmtId="164" fontId="24" fillId="2" borderId="13" xfId="0" applyNumberFormat="1" applyFont="1" applyFill="1" applyBorder="1"/>
    <xf numFmtId="164" fontId="15" fillId="3" borderId="9" xfId="0" applyNumberFormat="1" applyFont="1" applyFill="1" applyBorder="1"/>
    <xf numFmtId="0" fontId="18" fillId="0" borderId="0" xfId="0" applyFont="1"/>
    <xf numFmtId="4" fontId="22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" fillId="2" borderId="11" xfId="0" applyFont="1" applyFill="1" applyBorder="1"/>
    <xf numFmtId="164" fontId="28" fillId="2" borderId="13" xfId="0" applyNumberFormat="1" applyFont="1" applyFill="1" applyBorder="1"/>
    <xf numFmtId="0" fontId="1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" fillId="2" borderId="14" xfId="0" applyFont="1" applyFill="1" applyBorder="1"/>
    <xf numFmtId="164" fontId="16" fillId="2" borderId="15" xfId="0" applyNumberFormat="1" applyFont="1" applyFill="1" applyBorder="1"/>
    <xf numFmtId="0" fontId="30" fillId="0" borderId="0" xfId="0" applyFont="1"/>
    <xf numFmtId="0" fontId="9" fillId="0" borderId="16" xfId="0" applyFont="1" applyBorder="1"/>
    <xf numFmtId="0" fontId="9" fillId="0" borderId="17" xfId="0" applyFont="1" applyBorder="1"/>
    <xf numFmtId="0" fontId="31" fillId="0" borderId="0" xfId="0" applyFont="1" applyAlignment="1">
      <alignment horizontal="left"/>
    </xf>
    <xf numFmtId="165" fontId="9" fillId="0" borderId="17" xfId="0" applyNumberFormat="1" applyFont="1" applyBorder="1"/>
    <xf numFmtId="0" fontId="20" fillId="0" borderId="0" xfId="0" applyFont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0" xfId="0" applyFont="1"/>
    <xf numFmtId="0" fontId="33" fillId="0" borderId="0" xfId="0" applyFont="1"/>
    <xf numFmtId="0" fontId="2" fillId="0" borderId="0" xfId="0" applyFont="1" applyAlignment="1">
      <alignment horizontal="center"/>
    </xf>
    <xf numFmtId="0" fontId="34" fillId="0" borderId="0" xfId="0" applyFont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35" fillId="0" borderId="0" xfId="1" applyFont="1" applyAlignment="1">
      <alignment horizontal="right"/>
    </xf>
    <xf numFmtId="0" fontId="36" fillId="0" borderId="0" xfId="0" applyFont="1"/>
    <xf numFmtId="0" fontId="37" fillId="0" borderId="0" xfId="1" applyFont="1" applyAlignment="1">
      <alignment horizontal="right"/>
    </xf>
    <xf numFmtId="0" fontId="38" fillId="2" borderId="18" xfId="0" applyFont="1" applyFill="1" applyBorder="1" applyAlignment="1" applyProtection="1">
      <alignment horizontal="center"/>
      <protection locked="0"/>
    </xf>
    <xf numFmtId="166" fontId="39" fillId="0" borderId="0" xfId="0" applyNumberFormat="1" applyFont="1"/>
    <xf numFmtId="0" fontId="39" fillId="0" borderId="0" xfId="0" applyFont="1"/>
    <xf numFmtId="0" fontId="40" fillId="0" borderId="0" xfId="0" applyFont="1"/>
    <xf numFmtId="0" fontId="24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38" fillId="2" borderId="16" xfId="0" applyFont="1" applyFill="1" applyBorder="1" applyProtection="1">
      <protection locked="0"/>
    </xf>
    <xf numFmtId="0" fontId="0" fillId="2" borderId="19" xfId="0" applyFill="1" applyBorder="1"/>
    <xf numFmtId="0" fontId="0" fillId="2" borderId="17" xfId="0" applyFill="1" applyBorder="1"/>
    <xf numFmtId="0" fontId="41" fillId="0" borderId="0" xfId="1" applyFont="1"/>
    <xf numFmtId="0" fontId="42" fillId="0" borderId="20" xfId="1" applyFont="1" applyBorder="1"/>
    <xf numFmtId="0" fontId="0" fillId="0" borderId="20" xfId="0" applyBorder="1"/>
    <xf numFmtId="0" fontId="15" fillId="0" borderId="20" xfId="0" applyFont="1" applyBorder="1"/>
    <xf numFmtId="0" fontId="43" fillId="0" borderId="0" xfId="1" applyFont="1"/>
    <xf numFmtId="167" fontId="43" fillId="0" borderId="0" xfId="1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1" applyFont="1" applyAlignment="1">
      <alignment horizontal="right"/>
    </xf>
    <xf numFmtId="0" fontId="0" fillId="0" borderId="0" xfId="0" applyAlignment="1">
      <alignment horizontal="center"/>
    </xf>
    <xf numFmtId="167" fontId="46" fillId="0" borderId="0" xfId="1" applyNumberFormat="1" applyFont="1" applyAlignment="1">
      <alignment horizontal="left"/>
    </xf>
    <xf numFmtId="0" fontId="47" fillId="0" borderId="0" xfId="1" applyFont="1" applyAlignment="1">
      <alignment horizontal="right"/>
    </xf>
    <xf numFmtId="0" fontId="46" fillId="0" borderId="0" xfId="1" applyFont="1"/>
    <xf numFmtId="0" fontId="48" fillId="0" borderId="0" xfId="0" applyFont="1" applyAlignment="1">
      <alignment horizontal="center"/>
    </xf>
    <xf numFmtId="167" fontId="49" fillId="0" borderId="0" xfId="1" applyNumberFormat="1" applyFont="1" applyAlignment="1">
      <alignment horizontal="left"/>
    </xf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0" applyFont="1"/>
    <xf numFmtId="16" fontId="43" fillId="0" borderId="0" xfId="1" applyNumberFormat="1" applyFont="1" applyAlignment="1">
      <alignment horizontal="left"/>
    </xf>
    <xf numFmtId="16" fontId="46" fillId="0" borderId="0" xfId="1" applyNumberFormat="1" applyFont="1" applyAlignment="1">
      <alignment horizontal="left"/>
    </xf>
    <xf numFmtId="16" fontId="43" fillId="0" borderId="0" xfId="1" applyNumberFormat="1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6" fillId="0" borderId="20" xfId="0" applyFont="1" applyBorder="1"/>
    <xf numFmtId="0" fontId="56" fillId="0" borderId="0" xfId="0" applyFont="1"/>
    <xf numFmtId="0" fontId="6" fillId="4" borderId="9" xfId="0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left"/>
    </xf>
    <xf numFmtId="0" fontId="16" fillId="0" borderId="0" xfId="0" applyFont="1"/>
    <xf numFmtId="4" fontId="6" fillId="4" borderId="9" xfId="0" applyNumberFormat="1" applyFont="1" applyFill="1" applyBorder="1" applyAlignment="1" applyProtection="1">
      <alignment horizontal="center"/>
      <protection locked="0"/>
    </xf>
    <xf numFmtId="0" fontId="0" fillId="4" borderId="21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57" fillId="0" borderId="0" xfId="0" applyFont="1"/>
    <xf numFmtId="0" fontId="54" fillId="2" borderId="0" xfId="0" applyFont="1" applyFill="1"/>
    <xf numFmtId="0" fontId="55" fillId="2" borderId="0" xfId="0" applyFont="1" applyFill="1"/>
    <xf numFmtId="0" fontId="6" fillId="4" borderId="9" xfId="0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/>
    </xf>
    <xf numFmtId="0" fontId="58" fillId="0" borderId="0" xfId="0" applyFont="1"/>
    <xf numFmtId="0" fontId="9" fillId="0" borderId="0" xfId="0" applyFont="1" applyAlignment="1">
      <alignment horizontal="right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0" xfId="0" applyFont="1"/>
    <xf numFmtId="0" fontId="32" fillId="5" borderId="0" xfId="0" applyFont="1" applyFill="1"/>
    <xf numFmtId="168" fontId="6" fillId="5" borderId="0" xfId="0" applyNumberFormat="1" applyFont="1" applyFill="1" applyAlignment="1">
      <alignment horizontal="right"/>
    </xf>
    <xf numFmtId="168" fontId="31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1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9" fontId="9" fillId="5" borderId="0" xfId="0" applyNumberFormat="1" applyFont="1" applyFill="1" applyAlignment="1">
      <alignment horizontal="left"/>
    </xf>
    <xf numFmtId="169" fontId="9" fillId="5" borderId="0" xfId="0" applyNumberFormat="1" applyFont="1" applyFill="1"/>
    <xf numFmtId="169" fontId="62" fillId="5" borderId="0" xfId="0" applyNumberFormat="1" applyFont="1" applyFill="1" applyAlignment="1">
      <alignment horizontal="left"/>
    </xf>
    <xf numFmtId="0" fontId="62" fillId="0" borderId="0" xfId="0" applyFont="1" applyAlignment="1">
      <alignment horizontal="left"/>
    </xf>
    <xf numFmtId="0" fontId="62" fillId="0" borderId="0" xfId="0" applyFont="1"/>
    <xf numFmtId="0" fontId="64" fillId="0" borderId="1" xfId="0" applyFont="1" applyBorder="1" applyAlignment="1">
      <alignment horizontal="center" shrinkToFit="1"/>
    </xf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49" fontId="16" fillId="2" borderId="24" xfId="0" applyNumberFormat="1" applyFont="1" applyFill="1" applyBorder="1" applyAlignment="1">
      <alignment horizontal="center"/>
    </xf>
    <xf numFmtId="0" fontId="64" fillId="0" borderId="4" xfId="0" applyFont="1" applyBorder="1" applyAlignment="1">
      <alignment horizontal="center" shrinkToFit="1"/>
    </xf>
    <xf numFmtId="0" fontId="58" fillId="0" borderId="25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6" fillId="0" borderId="0" xfId="0" applyFont="1"/>
    <xf numFmtId="170" fontId="2" fillId="0" borderId="16" xfId="0" applyNumberFormat="1" applyFont="1" applyBorder="1" applyAlignment="1">
      <alignment horizontal="center"/>
    </xf>
    <xf numFmtId="171" fontId="2" fillId="0" borderId="16" xfId="0" applyNumberFormat="1" applyFont="1" applyBorder="1" applyAlignment="1">
      <alignment horizontal="left"/>
    </xf>
    <xf numFmtId="2" fontId="64" fillId="0" borderId="19" xfId="0" applyNumberFormat="1" applyFont="1" applyBorder="1" applyAlignment="1">
      <alignment horizontal="left"/>
    </xf>
    <xf numFmtId="172" fontId="52" fillId="0" borderId="26" xfId="0" applyNumberFormat="1" applyFont="1" applyBorder="1" applyProtection="1">
      <protection locked="0"/>
    </xf>
    <xf numFmtId="172" fontId="52" fillId="0" borderId="27" xfId="0" applyNumberFormat="1" applyFont="1" applyBorder="1" applyProtection="1">
      <protection locked="0"/>
    </xf>
    <xf numFmtId="165" fontId="67" fillId="0" borderId="28" xfId="0" applyNumberFormat="1" applyFont="1" applyBorder="1" applyProtection="1">
      <protection locked="0"/>
    </xf>
    <xf numFmtId="165" fontId="67" fillId="0" borderId="27" xfId="0" applyNumberFormat="1" applyFont="1" applyBorder="1" applyProtection="1">
      <protection locked="0"/>
    </xf>
    <xf numFmtId="165" fontId="67" fillId="0" borderId="29" xfId="0" applyNumberFormat="1" applyFont="1" applyBorder="1" applyProtection="1">
      <protection locked="0"/>
    </xf>
    <xf numFmtId="165" fontId="68" fillId="0" borderId="29" xfId="0" applyNumberFormat="1" applyFont="1" applyBorder="1" applyProtection="1">
      <protection locked="0"/>
    </xf>
    <xf numFmtId="165" fontId="52" fillId="0" borderId="29" xfId="0" applyNumberFormat="1" applyFont="1" applyBorder="1" applyAlignment="1" applyProtection="1">
      <alignment horizontal="right"/>
      <protection locked="0"/>
    </xf>
    <xf numFmtId="165" fontId="52" fillId="0" borderId="27" xfId="0" applyNumberFormat="1" applyFont="1" applyBorder="1" applyAlignment="1" applyProtection="1">
      <alignment horizontal="right"/>
      <protection locked="0"/>
    </xf>
    <xf numFmtId="165" fontId="9" fillId="0" borderId="30" xfId="0" applyNumberFormat="1" applyFont="1" applyBorder="1" applyAlignment="1">
      <alignment horizontal="right"/>
    </xf>
    <xf numFmtId="165" fontId="9" fillId="0" borderId="31" xfId="0" applyNumberFormat="1" applyFont="1" applyBorder="1" applyAlignment="1">
      <alignment horizontal="right"/>
    </xf>
    <xf numFmtId="173" fontId="16" fillId="0" borderId="32" xfId="0" applyNumberFormat="1" applyFont="1" applyBorder="1"/>
    <xf numFmtId="173" fontId="16" fillId="0" borderId="0" xfId="0" applyNumberFormat="1" applyFont="1"/>
    <xf numFmtId="14" fontId="0" fillId="0" borderId="0" xfId="0" applyNumberFormat="1"/>
    <xf numFmtId="0" fontId="0" fillId="5" borderId="0" xfId="0" applyFill="1"/>
    <xf numFmtId="0" fontId="16" fillId="0" borderId="16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center"/>
    </xf>
    <xf numFmtId="172" fontId="69" fillId="0" borderId="33" xfId="0" applyNumberFormat="1" applyFont="1" applyBorder="1"/>
    <xf numFmtId="172" fontId="69" fillId="0" borderId="19" xfId="0" applyNumberFormat="1" applyFont="1" applyBorder="1"/>
    <xf numFmtId="165" fontId="9" fillId="0" borderId="34" xfId="0" applyNumberFormat="1" applyFont="1" applyBorder="1" applyAlignment="1">
      <alignment horizontal="right"/>
    </xf>
    <xf numFmtId="165" fontId="9" fillId="0" borderId="35" xfId="0" applyNumberFormat="1" applyFont="1" applyBorder="1" applyAlignment="1">
      <alignment horizontal="right"/>
    </xf>
    <xf numFmtId="173" fontId="70" fillId="0" borderId="36" xfId="0" applyNumberFormat="1" applyFont="1" applyBorder="1"/>
    <xf numFmtId="173" fontId="70" fillId="0" borderId="0" xfId="0" applyNumberFormat="1" applyFont="1"/>
    <xf numFmtId="0" fontId="71" fillId="0" borderId="37" xfId="0" applyFont="1" applyBorder="1"/>
    <xf numFmtId="0" fontId="24" fillId="0" borderId="37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16" fillId="5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right"/>
    </xf>
    <xf numFmtId="176" fontId="52" fillId="0" borderId="0" xfId="0" applyNumberFormat="1" applyFont="1"/>
    <xf numFmtId="177" fontId="2" fillId="0" borderId="0" xfId="0" applyNumberFormat="1" applyFont="1"/>
    <xf numFmtId="169" fontId="72" fillId="0" borderId="0" xfId="0" applyNumberFormat="1" applyFont="1" applyAlignment="1">
      <alignment horizontal="center"/>
    </xf>
    <xf numFmtId="177" fontId="16" fillId="0" borderId="0" xfId="0" applyNumberFormat="1" applyFont="1"/>
    <xf numFmtId="0" fontId="64" fillId="0" borderId="0" xfId="0" applyFont="1"/>
    <xf numFmtId="172" fontId="52" fillId="0" borderId="26" xfId="0" applyNumberFormat="1" applyFont="1" applyBorder="1"/>
    <xf numFmtId="172" fontId="52" fillId="0" borderId="27" xfId="0" applyNumberFormat="1" applyFont="1" applyBorder="1"/>
    <xf numFmtId="165" fontId="67" fillId="0" borderId="28" xfId="0" applyNumberFormat="1" applyFont="1" applyBorder="1"/>
    <xf numFmtId="165" fontId="67" fillId="0" borderId="27" xfId="0" applyNumberFormat="1" applyFont="1" applyBorder="1"/>
    <xf numFmtId="165" fontId="67" fillId="0" borderId="38" xfId="0" applyNumberFormat="1" applyFont="1" applyBorder="1"/>
    <xf numFmtId="165" fontId="67" fillId="0" borderId="39" xfId="0" applyNumberFormat="1" applyFont="1" applyBorder="1"/>
    <xf numFmtId="165" fontId="68" fillId="0" borderId="39" xfId="0" applyNumberFormat="1" applyFont="1" applyBorder="1"/>
    <xf numFmtId="165" fontId="52" fillId="0" borderId="39" xfId="0" applyNumberFormat="1" applyFont="1" applyBorder="1" applyAlignment="1">
      <alignment horizontal="right"/>
    </xf>
    <xf numFmtId="165" fontId="52" fillId="0" borderId="40" xfId="0" applyNumberFormat="1" applyFont="1" applyBorder="1" applyAlignment="1">
      <alignment horizontal="right"/>
    </xf>
    <xf numFmtId="0" fontId="71" fillId="0" borderId="0" xfId="0" applyFont="1" applyAlignment="1">
      <alignment horizontal="left"/>
    </xf>
    <xf numFmtId="0" fontId="71" fillId="0" borderId="0" xfId="0" applyFont="1" applyAlignment="1">
      <alignment horizontal="center"/>
    </xf>
    <xf numFmtId="0" fontId="17" fillId="0" borderId="0" xfId="0" applyFont="1"/>
    <xf numFmtId="0" fontId="58" fillId="0" borderId="0" xfId="0" applyFont="1" applyAlignment="1">
      <alignment horizontal="left"/>
    </xf>
    <xf numFmtId="0" fontId="16" fillId="0" borderId="41" xfId="0" applyFont="1" applyBorder="1"/>
    <xf numFmtId="0" fontId="16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16" fillId="0" borderId="45" xfId="0" applyFont="1" applyBorder="1"/>
    <xf numFmtId="0" fontId="16" fillId="0" borderId="46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6" fillId="2" borderId="45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64" fillId="0" borderId="51" xfId="0" applyFont="1" applyBorder="1" applyAlignment="1">
      <alignment horizontal="center"/>
    </xf>
    <xf numFmtId="14" fontId="2" fillId="0" borderId="52" xfId="0" applyNumberFormat="1" applyFont="1" applyBorder="1" applyAlignment="1" applyProtection="1">
      <alignment horizontal="left"/>
      <protection locked="0"/>
    </xf>
    <xf numFmtId="49" fontId="2" fillId="0" borderId="53" xfId="0" applyNumberFormat="1" applyFont="1" applyBorder="1" applyAlignment="1" applyProtection="1">
      <alignment horizontal="right"/>
      <protection locked="0"/>
    </xf>
    <xf numFmtId="49" fontId="2" fillId="0" borderId="54" xfId="0" applyNumberFormat="1" applyFont="1" applyBorder="1" applyAlignment="1" applyProtection="1">
      <alignment horizontal="right"/>
      <protection locked="0"/>
    </xf>
    <xf numFmtId="0" fontId="2" fillId="0" borderId="55" xfId="0" applyFont="1" applyBorder="1" applyAlignment="1" applyProtection="1">
      <alignment horizontal="left"/>
      <protection locked="0"/>
    </xf>
    <xf numFmtId="174" fontId="2" fillId="0" borderId="56" xfId="0" applyNumberFormat="1" applyFont="1" applyBorder="1" applyAlignment="1" applyProtection="1">
      <alignment horizontal="right"/>
      <protection locked="0"/>
    </xf>
    <xf numFmtId="174" fontId="2" fillId="0" borderId="57" xfId="0" applyNumberFormat="1" applyFont="1" applyBorder="1" applyAlignment="1" applyProtection="1">
      <alignment horizontal="center"/>
      <protection locked="0"/>
    </xf>
    <xf numFmtId="178" fontId="2" fillId="2" borderId="52" xfId="0" applyNumberFormat="1" applyFont="1" applyFill="1" applyBorder="1" applyProtection="1">
      <protection locked="0"/>
    </xf>
    <xf numFmtId="178" fontId="2" fillId="0" borderId="57" xfId="0" applyNumberFormat="1" applyFont="1" applyBorder="1" applyProtection="1">
      <protection locked="0"/>
    </xf>
    <xf numFmtId="179" fontId="2" fillId="0" borderId="57" xfId="0" applyNumberFormat="1" applyFont="1" applyBorder="1" applyProtection="1">
      <protection locked="0"/>
    </xf>
    <xf numFmtId="14" fontId="2" fillId="0" borderId="58" xfId="0" applyNumberFormat="1" applyFont="1" applyBorder="1" applyAlignment="1" applyProtection="1">
      <alignment horizontal="left"/>
      <protection locked="0"/>
    </xf>
    <xf numFmtId="49" fontId="2" fillId="0" borderId="16" xfId="0" applyNumberFormat="1" applyFont="1" applyBorder="1" applyAlignment="1" applyProtection="1">
      <alignment horizontal="right"/>
      <protection locked="0"/>
    </xf>
    <xf numFmtId="49" fontId="2" fillId="0" borderId="59" xfId="0" applyNumberFormat="1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left"/>
      <protection locked="0"/>
    </xf>
    <xf numFmtId="174" fontId="2" fillId="0" borderId="27" xfId="0" applyNumberFormat="1" applyFont="1" applyBorder="1" applyAlignment="1" applyProtection="1">
      <alignment horizontal="right"/>
      <protection locked="0"/>
    </xf>
    <xf numFmtId="174" fontId="2" fillId="0" borderId="60" xfId="0" applyNumberFormat="1" applyFont="1" applyBorder="1" applyAlignment="1" applyProtection="1">
      <alignment horizontal="center"/>
      <protection locked="0"/>
    </xf>
    <xf numFmtId="178" fontId="2" fillId="2" borderId="58" xfId="0" applyNumberFormat="1" applyFont="1" applyFill="1" applyBorder="1" applyProtection="1">
      <protection locked="0"/>
    </xf>
    <xf numFmtId="178" fontId="2" fillId="0" borderId="60" xfId="0" applyNumberFormat="1" applyFont="1" applyBorder="1" applyProtection="1">
      <protection locked="0"/>
    </xf>
    <xf numFmtId="179" fontId="2" fillId="0" borderId="60" xfId="0" applyNumberFormat="1" applyFont="1" applyBorder="1" applyProtection="1">
      <protection locked="0"/>
    </xf>
    <xf numFmtId="14" fontId="2" fillId="0" borderId="61" xfId="0" applyNumberFormat="1" applyFont="1" applyBorder="1" applyAlignment="1" applyProtection="1">
      <alignment horizontal="left"/>
      <protection locked="0"/>
    </xf>
    <xf numFmtId="49" fontId="2" fillId="0" borderId="62" xfId="0" applyNumberFormat="1" applyFont="1" applyBorder="1" applyAlignment="1" applyProtection="1">
      <alignment horizontal="right"/>
      <protection locked="0"/>
    </xf>
    <xf numFmtId="49" fontId="2" fillId="0" borderId="63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left"/>
      <protection locked="0"/>
    </xf>
    <xf numFmtId="174" fontId="2" fillId="0" borderId="64" xfId="0" applyNumberFormat="1" applyFont="1" applyBorder="1" applyAlignment="1" applyProtection="1">
      <alignment horizontal="right"/>
      <protection locked="0"/>
    </xf>
    <xf numFmtId="174" fontId="2" fillId="0" borderId="65" xfId="0" applyNumberFormat="1" applyFont="1" applyBorder="1" applyAlignment="1" applyProtection="1">
      <alignment horizontal="center"/>
      <protection locked="0"/>
    </xf>
    <xf numFmtId="178" fontId="2" fillId="2" borderId="61" xfId="0" applyNumberFormat="1" applyFont="1" applyFill="1" applyBorder="1" applyProtection="1">
      <protection locked="0"/>
    </xf>
    <xf numFmtId="178" fontId="2" fillId="0" borderId="65" xfId="0" applyNumberFormat="1" applyFont="1" applyBorder="1" applyProtection="1">
      <protection locked="0"/>
    </xf>
    <xf numFmtId="179" fontId="2" fillId="0" borderId="65" xfId="0" applyNumberFormat="1" applyFont="1" applyBorder="1" applyProtection="1">
      <protection locked="0"/>
    </xf>
    <xf numFmtId="14" fontId="2" fillId="0" borderId="66" xfId="0" applyNumberFormat="1" applyFont="1" applyBorder="1" applyAlignment="1" applyProtection="1">
      <alignment horizontal="left"/>
      <protection locked="0"/>
    </xf>
    <xf numFmtId="49" fontId="2" fillId="0" borderId="67" xfId="0" applyNumberFormat="1" applyFont="1" applyBorder="1" applyAlignment="1" applyProtection="1">
      <alignment horizontal="right"/>
      <protection locked="0"/>
    </xf>
    <xf numFmtId="49" fontId="2" fillId="0" borderId="68" xfId="0" applyNumberFormat="1" applyFont="1" applyBorder="1" applyAlignment="1" applyProtection="1">
      <alignment horizontal="right"/>
      <protection locked="0"/>
    </xf>
    <xf numFmtId="0" fontId="2" fillId="0" borderId="69" xfId="0" applyFont="1" applyBorder="1" applyAlignment="1" applyProtection="1">
      <alignment horizontal="left"/>
      <protection locked="0"/>
    </xf>
    <xf numFmtId="174" fontId="2" fillId="0" borderId="70" xfId="0" applyNumberFormat="1" applyFont="1" applyBorder="1" applyAlignment="1" applyProtection="1">
      <alignment horizontal="right"/>
      <protection locked="0"/>
    </xf>
    <xf numFmtId="174" fontId="2" fillId="0" borderId="71" xfId="0" applyNumberFormat="1" applyFont="1" applyBorder="1" applyAlignment="1" applyProtection="1">
      <alignment horizontal="center"/>
      <protection locked="0"/>
    </xf>
    <xf numFmtId="178" fontId="2" fillId="2" borderId="66" xfId="0" applyNumberFormat="1" applyFont="1" applyFill="1" applyBorder="1" applyProtection="1">
      <protection locked="0"/>
    </xf>
    <xf numFmtId="178" fontId="2" fillId="0" borderId="71" xfId="0" applyNumberFormat="1" applyFont="1" applyBorder="1" applyProtection="1">
      <protection locked="0"/>
    </xf>
    <xf numFmtId="179" fontId="2" fillId="0" borderId="71" xfId="0" applyNumberFormat="1" applyFont="1" applyBorder="1" applyProtection="1">
      <protection locked="0"/>
    </xf>
    <xf numFmtId="164" fontId="9" fillId="0" borderId="0" xfId="0" applyNumberFormat="1" applyFont="1"/>
    <xf numFmtId="178" fontId="16" fillId="2" borderId="72" xfId="0" applyNumberFormat="1" applyFont="1" applyFill="1" applyBorder="1"/>
    <xf numFmtId="178" fontId="16" fillId="0" borderId="73" xfId="0" applyNumberFormat="1" applyFont="1" applyBorder="1"/>
    <xf numFmtId="179" fontId="16" fillId="0" borderId="73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0" fontId="16" fillId="0" borderId="7" xfId="0" applyFont="1" applyBorder="1"/>
    <xf numFmtId="0" fontId="58" fillId="0" borderId="7" xfId="0" applyFont="1" applyBorder="1" applyAlignment="1">
      <alignment horizontal="center"/>
    </xf>
    <xf numFmtId="0" fontId="16" fillId="0" borderId="74" xfId="0" applyFont="1" applyBorder="1"/>
    <xf numFmtId="4" fontId="2" fillId="0" borderId="74" xfId="0" applyNumberFormat="1" applyFont="1" applyBorder="1"/>
    <xf numFmtId="4" fontId="2" fillId="0" borderId="74" xfId="0" applyNumberFormat="1" applyFont="1" applyBorder="1" applyAlignment="1">
      <alignment horizontal="center"/>
    </xf>
    <xf numFmtId="180" fontId="72" fillId="0" borderId="74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75" xfId="0" applyFont="1" applyBorder="1"/>
    <xf numFmtId="0" fontId="2" fillId="0" borderId="75" xfId="0" applyFont="1" applyBorder="1" applyAlignment="1">
      <alignment horizontal="center"/>
    </xf>
    <xf numFmtId="180" fontId="2" fillId="0" borderId="19" xfId="0" applyNumberFormat="1" applyFont="1" applyBorder="1"/>
    <xf numFmtId="14" fontId="2" fillId="0" borderId="0" xfId="0" applyNumberFormat="1" applyFont="1" applyAlignment="1">
      <alignment horizontal="center"/>
    </xf>
    <xf numFmtId="180" fontId="72" fillId="0" borderId="19" xfId="0" applyNumberFormat="1" applyFont="1" applyBorder="1"/>
    <xf numFmtId="0" fontId="16" fillId="0" borderId="2" xfId="0" applyFont="1" applyBorder="1"/>
    <xf numFmtId="0" fontId="58" fillId="0" borderId="76" xfId="0" applyFont="1" applyBorder="1"/>
    <xf numFmtId="0" fontId="0" fillId="0" borderId="75" xfId="0" applyBorder="1"/>
    <xf numFmtId="0" fontId="74" fillId="0" borderId="0" xfId="0" applyFont="1"/>
    <xf numFmtId="14" fontId="2" fillId="0" borderId="52" xfId="0" applyNumberFormat="1" applyFont="1" applyBorder="1" applyAlignment="1">
      <alignment horizontal="left"/>
    </xf>
    <xf numFmtId="164" fontId="2" fillId="0" borderId="53" xfId="0" applyNumberFormat="1" applyFont="1" applyBorder="1"/>
    <xf numFmtId="164" fontId="2" fillId="0" borderId="54" xfId="0" applyNumberFormat="1" applyFont="1" applyBorder="1"/>
    <xf numFmtId="0" fontId="2" fillId="0" borderId="55" xfId="0" applyFont="1" applyBorder="1" applyAlignment="1">
      <alignment horizontal="left"/>
    </xf>
    <xf numFmtId="174" fontId="2" fillId="0" borderId="56" xfId="0" applyNumberFormat="1" applyFont="1" applyBorder="1" applyAlignment="1">
      <alignment horizontal="right"/>
    </xf>
    <xf numFmtId="174" fontId="2" fillId="0" borderId="57" xfId="0" applyNumberFormat="1" applyFont="1" applyBorder="1" applyAlignment="1">
      <alignment horizontal="center"/>
    </xf>
    <xf numFmtId="178" fontId="2" fillId="2" borderId="52" xfId="0" applyNumberFormat="1" applyFont="1" applyFill="1" applyBorder="1"/>
    <xf numFmtId="178" fontId="2" fillId="0" borderId="57" xfId="0" applyNumberFormat="1" applyFont="1" applyBorder="1"/>
    <xf numFmtId="179" fontId="2" fillId="0" borderId="57" xfId="0" applyNumberFormat="1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75" fillId="0" borderId="0" xfId="0" applyFont="1"/>
    <xf numFmtId="168" fontId="76" fillId="0" borderId="0" xfId="0" applyNumberFormat="1" applyFont="1"/>
    <xf numFmtId="168" fontId="32" fillId="0" borderId="0" xfId="0" applyNumberFormat="1" applyFont="1"/>
    <xf numFmtId="0" fontId="0" fillId="0" borderId="77" xfId="0" applyBorder="1" applyAlignment="1">
      <alignment horizontal="left"/>
    </xf>
    <xf numFmtId="0" fontId="9" fillId="0" borderId="77" xfId="0" applyFont="1" applyBorder="1" applyAlignment="1">
      <alignment horizontal="center"/>
    </xf>
    <xf numFmtId="0" fontId="77" fillId="0" borderId="77" xfId="0" applyFont="1" applyBorder="1"/>
    <xf numFmtId="0" fontId="78" fillId="0" borderId="77" xfId="0" applyFont="1" applyBorder="1"/>
    <xf numFmtId="0" fontId="0" fillId="0" borderId="77" xfId="0" applyBorder="1"/>
    <xf numFmtId="168" fontId="0" fillId="0" borderId="77" xfId="0" applyNumberFormat="1" applyBorder="1"/>
    <xf numFmtId="0" fontId="6" fillId="0" borderId="77" xfId="0" applyFont="1" applyBorder="1"/>
    <xf numFmtId="168" fontId="76" fillId="0" borderId="77" xfId="0" applyNumberFormat="1" applyFont="1" applyBorder="1" applyAlignment="1">
      <alignment horizontal="right"/>
    </xf>
    <xf numFmtId="0" fontId="54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3" fontId="2" fillId="0" borderId="0" xfId="0" applyNumberFormat="1" applyFont="1" applyAlignment="1">
      <alignment horizontal="right"/>
    </xf>
    <xf numFmtId="4" fontId="0" fillId="0" borderId="0" xfId="0" applyNumberForma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86" fontId="2" fillId="0" borderId="0" xfId="0" applyNumberFormat="1" applyFont="1"/>
    <xf numFmtId="183" fontId="52" fillId="0" borderId="0" xfId="0" applyNumberFormat="1" applyFont="1"/>
    <xf numFmtId="187" fontId="2" fillId="0" borderId="0" xfId="0" applyNumberFormat="1" applyFont="1"/>
    <xf numFmtId="188" fontId="9" fillId="0" borderId="4" xfId="0" applyNumberFormat="1" applyFont="1" applyBorder="1" applyAlignment="1">
      <alignment horizontal="left"/>
    </xf>
    <xf numFmtId="2" fontId="64" fillId="0" borderId="78" xfId="0" applyNumberFormat="1" applyFont="1" applyBorder="1" applyAlignment="1">
      <alignment horizontal="center"/>
    </xf>
    <xf numFmtId="188" fontId="9" fillId="0" borderId="79" xfId="0" applyNumberFormat="1" applyFont="1" applyBorder="1" applyAlignment="1">
      <alignment horizontal="left"/>
    </xf>
    <xf numFmtId="188" fontId="9" fillId="0" borderId="1" xfId="0" applyNumberFormat="1" applyFont="1" applyBorder="1" applyAlignment="1">
      <alignment horizontal="left"/>
    </xf>
    <xf numFmtId="2" fontId="64" fillId="0" borderId="80" xfId="0" applyNumberFormat="1" applyFont="1" applyBorder="1" applyAlignment="1">
      <alignment horizontal="center"/>
    </xf>
    <xf numFmtId="188" fontId="9" fillId="0" borderId="81" xfId="0" applyNumberFormat="1" applyFont="1" applyBorder="1" applyAlignment="1">
      <alignment horizontal="left"/>
    </xf>
    <xf numFmtId="2" fontId="64" fillId="0" borderId="82" xfId="0" applyNumberFormat="1" applyFont="1" applyBorder="1" applyAlignment="1">
      <alignment horizontal="center"/>
    </xf>
    <xf numFmtId="0" fontId="9" fillId="0" borderId="4" xfId="0" applyFont="1" applyBorder="1"/>
    <xf numFmtId="188" fontId="9" fillId="0" borderId="6" xfId="0" applyNumberFormat="1" applyFont="1" applyBorder="1" applyAlignment="1">
      <alignment horizontal="left"/>
    </xf>
    <xf numFmtId="2" fontId="64" fillId="0" borderId="83" xfId="0" applyNumberFormat="1" applyFont="1" applyBorder="1" applyAlignment="1">
      <alignment horizontal="center"/>
    </xf>
    <xf numFmtId="0" fontId="9" fillId="0" borderId="6" xfId="0" applyFont="1" applyBorder="1"/>
    <xf numFmtId="2" fontId="64" fillId="0" borderId="84" xfId="0" applyNumberFormat="1" applyFont="1" applyBorder="1" applyAlignment="1">
      <alignment horizontal="center"/>
    </xf>
    <xf numFmtId="0" fontId="79" fillId="0" borderId="0" xfId="0" applyFont="1"/>
    <xf numFmtId="0" fontId="16" fillId="5" borderId="0" xfId="0" applyFont="1" applyFill="1" applyAlignment="1">
      <alignment horizontal="right"/>
    </xf>
    <xf numFmtId="0" fontId="53" fillId="0" borderId="0" xfId="0" applyFont="1" applyAlignment="1">
      <alignment horizontal="left"/>
    </xf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0" fontId="84" fillId="0" borderId="0" xfId="0" applyFont="1"/>
    <xf numFmtId="164" fontId="85" fillId="0" borderId="0" xfId="0" applyNumberFormat="1" applyFont="1"/>
    <xf numFmtId="0" fontId="86" fillId="0" borderId="0" xfId="0" applyFont="1"/>
    <xf numFmtId="189" fontId="15" fillId="6" borderId="85" xfId="0" applyNumberFormat="1" applyFont="1" applyFill="1" applyBorder="1" applyAlignment="1">
      <alignment horizontal="right"/>
    </xf>
    <xf numFmtId="0" fontId="54" fillId="0" borderId="86" xfId="0" applyFont="1" applyBorder="1" applyAlignment="1">
      <alignment horizontal="center"/>
    </xf>
    <xf numFmtId="0" fontId="54" fillId="0" borderId="87" xfId="0" applyFont="1" applyBorder="1" applyAlignment="1">
      <alignment horizontal="center"/>
    </xf>
    <xf numFmtId="0" fontId="32" fillId="0" borderId="20" xfId="0" applyFont="1" applyBorder="1"/>
    <xf numFmtId="189" fontId="14" fillId="7" borderId="90" xfId="0" applyNumberFormat="1" applyFont="1" applyFill="1" applyBorder="1" applyAlignment="1" applyProtection="1">
      <alignment horizontal="right"/>
      <protection locked="0"/>
    </xf>
    <xf numFmtId="0" fontId="14" fillId="2" borderId="9" xfId="0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49" fontId="16" fillId="0" borderId="0" xfId="0" applyNumberFormat="1" applyFont="1"/>
    <xf numFmtId="0" fontId="87" fillId="0" borderId="0" xfId="0" applyFont="1"/>
    <xf numFmtId="49" fontId="9" fillId="0" borderId="0" xfId="0" applyNumberFormat="1" applyFont="1"/>
    <xf numFmtId="165" fontId="9" fillId="0" borderId="19" xfId="0" applyNumberFormat="1" applyFont="1" applyBorder="1" applyAlignment="1">
      <alignment horizontal="right"/>
    </xf>
    <xf numFmtId="165" fontId="9" fillId="0" borderId="91" xfId="0" applyNumberFormat="1" applyFont="1" applyBorder="1" applyAlignment="1">
      <alignment horizontal="right"/>
    </xf>
    <xf numFmtId="169" fontId="9" fillId="0" borderId="0" xfId="0" applyNumberFormat="1" applyFont="1" applyAlignment="1">
      <alignment horizontal="left"/>
    </xf>
    <xf numFmtId="165" fontId="9" fillId="0" borderId="27" xfId="0" applyNumberFormat="1" applyFont="1" applyBorder="1" applyAlignment="1">
      <alignment horizontal="right"/>
    </xf>
    <xf numFmtId="165" fontId="9" fillId="0" borderId="70" xfId="0" applyNumberFormat="1" applyFont="1" applyBorder="1" applyAlignment="1">
      <alignment horizontal="right"/>
    </xf>
    <xf numFmtId="191" fontId="89" fillId="0" borderId="0" xfId="1" applyNumberFormat="1" applyFont="1" applyAlignment="1">
      <alignment horizontal="left"/>
    </xf>
    <xf numFmtId="0" fontId="90" fillId="0" borderId="0" xfId="1" applyFont="1" applyAlignment="1">
      <alignment horizontal="right"/>
    </xf>
    <xf numFmtId="0" fontId="89" fillId="0" borderId="0" xfId="1" applyFont="1"/>
    <xf numFmtId="1" fontId="91" fillId="0" borderId="0" xfId="0" applyNumberFormat="1" applyFont="1"/>
    <xf numFmtId="0" fontId="88" fillId="0" borderId="0" xfId="0" applyFont="1"/>
    <xf numFmtId="0" fontId="92" fillId="0" borderId="0" xfId="0" applyFont="1"/>
    <xf numFmtId="0" fontId="93" fillId="0" borderId="0" xfId="1" applyFont="1"/>
    <xf numFmtId="0" fontId="91" fillId="0" borderId="0" xfId="0" applyFont="1"/>
    <xf numFmtId="191" fontId="94" fillId="0" borderId="0" xfId="1" applyNumberFormat="1" applyFont="1" applyAlignment="1">
      <alignment horizontal="left"/>
    </xf>
    <xf numFmtId="0" fontId="95" fillId="0" borderId="0" xfId="1" applyFont="1" applyAlignment="1">
      <alignment horizontal="right"/>
    </xf>
    <xf numFmtId="0" fontId="94" fillId="0" borderId="0" xfId="1" applyFont="1"/>
    <xf numFmtId="0" fontId="96" fillId="0" borderId="0" xfId="0" applyFont="1"/>
    <xf numFmtId="0" fontId="97" fillId="0" borderId="0" xfId="0" applyFont="1"/>
    <xf numFmtId="16" fontId="89" fillId="0" borderId="0" xfId="1" applyNumberFormat="1" applyFont="1" applyAlignment="1">
      <alignment horizontal="left"/>
    </xf>
    <xf numFmtId="16" fontId="89" fillId="0" borderId="0" xfId="1" applyNumberFormat="1" applyFont="1"/>
    <xf numFmtId="0" fontId="98" fillId="0" borderId="0" xfId="0" applyFont="1"/>
    <xf numFmtId="164" fontId="24" fillId="2" borderId="12" xfId="0" applyNumberFormat="1" applyFont="1" applyFill="1" applyBorder="1" applyProtection="1">
      <protection locked="0"/>
    </xf>
    <xf numFmtId="164" fontId="24" fillId="2" borderId="13" xfId="0" applyNumberFormat="1" applyFont="1" applyFill="1" applyBorder="1" applyProtection="1">
      <protection locked="0"/>
    </xf>
    <xf numFmtId="164" fontId="28" fillId="2" borderId="13" xfId="0" applyNumberFormat="1" applyFont="1" applyFill="1" applyBorder="1" applyProtection="1">
      <protection locked="0"/>
    </xf>
    <xf numFmtId="169" fontId="2" fillId="0" borderId="112" xfId="0" applyNumberFormat="1" applyFont="1" applyBorder="1" applyAlignment="1">
      <alignment horizontal="left"/>
    </xf>
    <xf numFmtId="0" fontId="31" fillId="0" borderId="112" xfId="0" applyFont="1" applyBorder="1" applyAlignment="1">
      <alignment horizontal="right"/>
    </xf>
    <xf numFmtId="49" fontId="2" fillId="0" borderId="113" xfId="0" applyNumberFormat="1" applyFont="1" applyBorder="1" applyAlignment="1">
      <alignment horizontal="center"/>
    </xf>
    <xf numFmtId="0" fontId="9" fillId="0" borderId="113" xfId="0" applyFont="1" applyBorder="1" applyAlignment="1">
      <alignment horizontal="right"/>
    </xf>
    <xf numFmtId="0" fontId="73" fillId="0" borderId="113" xfId="0" applyFont="1" applyBorder="1" applyAlignment="1">
      <alignment horizontal="center"/>
    </xf>
    <xf numFmtId="0" fontId="0" fillId="0" borderId="113" xfId="0" applyBorder="1"/>
    <xf numFmtId="0" fontId="9" fillId="0" borderId="11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4" fillId="2" borderId="9" xfId="0" applyFont="1" applyFill="1" applyBorder="1" applyAlignment="1" applyProtection="1">
      <alignment horizontal="left"/>
      <protection locked="0"/>
    </xf>
    <xf numFmtId="14" fontId="6" fillId="4" borderId="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4" fontId="6" fillId="4" borderId="9" xfId="0" applyNumberFormat="1" applyFont="1" applyFill="1" applyBorder="1" applyAlignment="1">
      <alignment horizontal="center"/>
    </xf>
    <xf numFmtId="0" fontId="2" fillId="0" borderId="92" xfId="0" applyFont="1" applyBorder="1" applyAlignment="1">
      <alignment horizontal="center"/>
    </xf>
    <xf numFmtId="14" fontId="0" fillId="0" borderId="92" xfId="0" applyNumberFormat="1" applyBorder="1" applyAlignment="1">
      <alignment horizontal="left"/>
    </xf>
    <xf numFmtId="0" fontId="65" fillId="0" borderId="101" xfId="0" applyFont="1" applyBorder="1" applyAlignment="1">
      <alignment horizontal="left" readingOrder="1"/>
    </xf>
    <xf numFmtId="0" fontId="65" fillId="0" borderId="74" xfId="0" applyFont="1" applyBorder="1" applyAlignment="1">
      <alignment horizontal="left" readingOrder="1"/>
    </xf>
    <xf numFmtId="0" fontId="65" fillId="0" borderId="104" xfId="0" applyFont="1" applyBorder="1" applyAlignment="1">
      <alignment horizontal="center"/>
    </xf>
    <xf numFmtId="0" fontId="65" fillId="0" borderId="105" xfId="0" applyFont="1" applyBorder="1" applyAlignment="1">
      <alignment horizontal="center"/>
    </xf>
    <xf numFmtId="14" fontId="9" fillId="0" borderId="0" xfId="0" applyNumberFormat="1" applyFont="1" applyAlignment="1">
      <alignment horizontal="right"/>
    </xf>
    <xf numFmtId="176" fontId="2" fillId="0" borderId="2" xfId="0" applyNumberFormat="1" applyFont="1" applyBorder="1" applyAlignment="1">
      <alignment horizontal="right"/>
    </xf>
    <xf numFmtId="0" fontId="9" fillId="0" borderId="80" xfId="0" applyFont="1" applyBorder="1" applyAlignment="1">
      <alignment horizontal="center" textRotation="90" shrinkToFit="1"/>
    </xf>
    <xf numFmtId="0" fontId="9" fillId="0" borderId="93" xfId="0" applyFont="1" applyBorder="1" applyAlignment="1">
      <alignment horizontal="center" textRotation="90" shrinkToFit="1"/>
    </xf>
    <xf numFmtId="174" fontId="9" fillId="0" borderId="88" xfId="0" applyNumberFormat="1" applyFont="1" applyBorder="1" applyAlignment="1" applyProtection="1">
      <alignment horizontal="left"/>
      <protection locked="0"/>
    </xf>
    <xf numFmtId="174" fontId="9" fillId="0" borderId="20" xfId="0" applyNumberFormat="1" applyFont="1" applyBorder="1" applyAlignment="1" applyProtection="1">
      <alignment horizontal="left"/>
      <protection locked="0"/>
    </xf>
    <xf numFmtId="174" fontId="9" fillId="0" borderId="106" xfId="0" applyNumberFormat="1" applyFont="1" applyBorder="1" applyAlignment="1" applyProtection="1">
      <alignment horizontal="left"/>
      <protection locked="0"/>
    </xf>
    <xf numFmtId="174" fontId="9" fillId="0" borderId="89" xfId="0" applyNumberFormat="1" applyFont="1" applyBorder="1" applyAlignment="1" applyProtection="1">
      <alignment horizontal="left"/>
      <protection locked="0"/>
    </xf>
    <xf numFmtId="174" fontId="9" fillId="0" borderId="19" xfId="0" applyNumberFormat="1" applyFont="1" applyBorder="1" applyAlignment="1" applyProtection="1">
      <alignment horizontal="left"/>
      <protection locked="0"/>
    </xf>
    <xf numFmtId="174" fontId="9" fillId="0" borderId="108" xfId="0" applyNumberFormat="1" applyFont="1" applyBorder="1" applyAlignment="1" applyProtection="1">
      <alignment horizontal="left"/>
      <protection locked="0"/>
    </xf>
    <xf numFmtId="174" fontId="9" fillId="0" borderId="109" xfId="0" applyNumberFormat="1" applyFont="1" applyBorder="1" applyAlignment="1" applyProtection="1">
      <alignment horizontal="left"/>
      <protection locked="0"/>
    </xf>
    <xf numFmtId="174" fontId="9" fillId="0" borderId="102" xfId="0" applyNumberFormat="1" applyFont="1" applyBorder="1" applyAlignment="1" applyProtection="1">
      <alignment horizontal="left"/>
      <protection locked="0"/>
    </xf>
    <xf numFmtId="174" fontId="9" fillId="0" borderId="110" xfId="0" applyNumberFormat="1" applyFont="1" applyBorder="1" applyAlignment="1" applyProtection="1">
      <alignment horizontal="left"/>
      <protection locked="0"/>
    </xf>
    <xf numFmtId="14" fontId="64" fillId="0" borderId="0" xfId="0" applyNumberFormat="1" applyFont="1" applyAlignment="1">
      <alignment horizontal="left"/>
    </xf>
    <xf numFmtId="176" fontId="52" fillId="0" borderId="0" xfId="0" applyNumberFormat="1" applyFont="1" applyAlignment="1" applyProtection="1">
      <alignment horizontal="left"/>
      <protection locked="0"/>
    </xf>
    <xf numFmtId="176" fontId="16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16" fillId="0" borderId="0" xfId="0" applyNumberFormat="1" applyFont="1" applyAlignment="1">
      <alignment horizontal="right"/>
    </xf>
    <xf numFmtId="168" fontId="15" fillId="5" borderId="0" xfId="0" applyNumberFormat="1" applyFont="1" applyFill="1" applyAlignment="1">
      <alignment horizontal="left"/>
    </xf>
    <xf numFmtId="169" fontId="62" fillId="0" borderId="0" xfId="0" applyNumberFormat="1" applyFont="1" applyAlignment="1">
      <alignment horizontal="right"/>
    </xf>
    <xf numFmtId="0" fontId="63" fillId="0" borderId="94" xfId="0" applyFont="1" applyBorder="1" applyAlignment="1">
      <alignment horizontal="center"/>
    </xf>
    <xf numFmtId="0" fontId="63" fillId="0" borderId="95" xfId="0" applyFont="1" applyBorder="1" applyAlignment="1">
      <alignment horizontal="center"/>
    </xf>
    <xf numFmtId="0" fontId="16" fillId="2" borderId="96" xfId="0" applyFont="1" applyFill="1" applyBorder="1" applyAlignment="1">
      <alignment horizontal="center"/>
    </xf>
    <xf numFmtId="0" fontId="9" fillId="0" borderId="96" xfId="0" applyFont="1" applyBorder="1" applyAlignment="1">
      <alignment horizontal="center" textRotation="90" shrinkToFit="1"/>
    </xf>
    <xf numFmtId="0" fontId="9" fillId="0" borderId="97" xfId="0" applyFont="1" applyBorder="1" applyAlignment="1">
      <alignment horizontal="center" textRotation="90" shrinkToFit="1"/>
    </xf>
    <xf numFmtId="0" fontId="64" fillId="0" borderId="98" xfId="0" applyFont="1" applyBorder="1" applyAlignment="1">
      <alignment horizontal="center" textRotation="90" shrinkToFit="1"/>
    </xf>
    <xf numFmtId="0" fontId="64" fillId="0" borderId="40" xfId="0" applyFont="1" applyBorder="1" applyAlignment="1">
      <alignment horizontal="center" textRotation="90" shrinkToFit="1"/>
    </xf>
    <xf numFmtId="174" fontId="9" fillId="0" borderId="111" xfId="0" applyNumberFormat="1" applyFont="1" applyBorder="1" applyAlignment="1" applyProtection="1">
      <alignment horizontal="left"/>
      <protection locked="0"/>
    </xf>
    <xf numFmtId="174" fontId="9" fillId="0" borderId="103" xfId="0" applyNumberFormat="1" applyFont="1" applyBorder="1" applyAlignment="1" applyProtection="1">
      <alignment horizontal="left"/>
      <protection locked="0"/>
    </xf>
    <xf numFmtId="174" fontId="9" fillId="0" borderId="107" xfId="0" applyNumberFormat="1" applyFont="1" applyBorder="1" applyAlignment="1" applyProtection="1">
      <alignment horizontal="left"/>
      <protection locked="0"/>
    </xf>
    <xf numFmtId="0" fontId="64" fillId="0" borderId="2" xfId="0" applyFont="1" applyBorder="1" applyAlignment="1">
      <alignment horizontal="center" textRotation="90" shrinkToFit="1"/>
    </xf>
    <xf numFmtId="0" fontId="64" fillId="0" borderId="20" xfId="0" applyFont="1" applyBorder="1" applyAlignment="1">
      <alignment horizontal="center" textRotation="90" shrinkToFit="1"/>
    </xf>
    <xf numFmtId="2" fontId="9" fillId="0" borderId="111" xfId="0" applyNumberFormat="1" applyFont="1" applyBorder="1" applyAlignment="1" applyProtection="1">
      <alignment horizontal="left"/>
      <protection locked="0"/>
    </xf>
    <xf numFmtId="2" fontId="9" fillId="0" borderId="103" xfId="0" applyNumberFormat="1" applyFont="1" applyBorder="1" applyAlignment="1" applyProtection="1">
      <alignment horizontal="left"/>
      <protection locked="0"/>
    </xf>
    <xf numFmtId="2" fontId="9" fillId="0" borderId="107" xfId="0" applyNumberFormat="1" applyFont="1" applyBorder="1" applyAlignment="1" applyProtection="1">
      <alignment horizontal="left"/>
      <protection locked="0"/>
    </xf>
    <xf numFmtId="190" fontId="2" fillId="0" borderId="0" xfId="0" applyNumberFormat="1" applyFont="1" applyAlignment="1">
      <alignment horizontal="right"/>
    </xf>
    <xf numFmtId="0" fontId="16" fillId="0" borderId="49" xfId="0" applyFont="1" applyBorder="1" applyAlignment="1">
      <alignment horizontal="center"/>
    </xf>
    <xf numFmtId="0" fontId="2" fillId="0" borderId="99" xfId="0" applyFont="1" applyBorder="1" applyAlignment="1">
      <alignment horizontal="left"/>
    </xf>
    <xf numFmtId="181" fontId="58" fillId="0" borderId="76" xfId="0" applyNumberFormat="1" applyFont="1" applyBorder="1" applyAlignment="1">
      <alignment horizontal="right"/>
    </xf>
    <xf numFmtId="0" fontId="16" fillId="0" borderId="43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0" borderId="20" xfId="0" applyFont="1" applyBorder="1" applyAlignment="1">
      <alignment horizontal="left"/>
    </xf>
    <xf numFmtId="182" fontId="2" fillId="0" borderId="19" xfId="0" applyNumberFormat="1" applyFont="1" applyBorder="1" applyAlignment="1">
      <alignment horizontal="right"/>
    </xf>
    <xf numFmtId="181" fontId="58" fillId="0" borderId="19" xfId="0" applyNumberFormat="1" applyFont="1" applyBorder="1" applyAlignment="1">
      <alignment horizontal="right"/>
    </xf>
    <xf numFmtId="0" fontId="16" fillId="0" borderId="91" xfId="0" applyFont="1" applyBorder="1" applyAlignment="1">
      <alignment horizontal="left"/>
    </xf>
    <xf numFmtId="182" fontId="2" fillId="0" borderId="91" xfId="0" applyNumberFormat="1" applyFont="1" applyBorder="1" applyAlignment="1">
      <alignment horizontal="right"/>
    </xf>
    <xf numFmtId="14" fontId="2" fillId="0" borderId="92" xfId="0" applyNumberFormat="1" applyFont="1" applyBorder="1" applyAlignment="1">
      <alignment horizontal="center"/>
    </xf>
    <xf numFmtId="0" fontId="16" fillId="0" borderId="19" xfId="0" applyFont="1" applyBorder="1" applyAlignment="1">
      <alignment horizontal="left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0" xfId="0" applyFont="1" applyBorder="1" applyAlignment="1" applyProtection="1">
      <alignment horizontal="left"/>
      <protection locked="0"/>
    </xf>
    <xf numFmtId="0" fontId="6" fillId="2" borderId="72" xfId="0" applyFont="1" applyFill="1" applyBorder="1" applyAlignment="1">
      <alignment horizontal="left"/>
    </xf>
    <xf numFmtId="181" fontId="58" fillId="0" borderId="74" xfId="0" applyNumberFormat="1" applyFont="1" applyBorder="1" applyAlignment="1">
      <alignment horizontal="right"/>
    </xf>
    <xf numFmtId="0" fontId="2" fillId="0" borderId="99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right"/>
    </xf>
    <xf numFmtId="0" fontId="58" fillId="0" borderId="18" xfId="0" applyFont="1" applyBorder="1" applyAlignment="1">
      <alignment horizontal="center"/>
    </xf>
    <xf numFmtId="176" fontId="2" fillId="0" borderId="0" xfId="0" applyNumberFormat="1" applyFont="1" applyAlignment="1">
      <alignment horizontal="left"/>
    </xf>
    <xf numFmtId="183" fontId="2" fillId="0" borderId="0" xfId="0" applyNumberFormat="1" applyFont="1" applyAlignment="1">
      <alignment horizontal="right"/>
    </xf>
    <xf numFmtId="184" fontId="2" fillId="0" borderId="0" xfId="0" applyNumberFormat="1" applyFont="1" applyAlignment="1">
      <alignment horizontal="left"/>
    </xf>
    <xf numFmtId="185" fontId="52" fillId="0" borderId="0" xfId="0" applyNumberFormat="1" applyFont="1" applyAlignment="1">
      <alignment horizontal="right"/>
    </xf>
    <xf numFmtId="183" fontId="52" fillId="0" borderId="0" xfId="0" applyNumberFormat="1" applyFont="1" applyAlignment="1">
      <alignment horizontal="right"/>
    </xf>
  </cellXfs>
  <cellStyles count="2">
    <cellStyle name="Standard" xfId="0" builtinId="0"/>
    <cellStyle name="Standard_SPESEN" xfId="1" xr:uid="{00000000-0005-0000-0000-000001000000}"/>
  </cellStyles>
  <dxfs count="77"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29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3497580</xdr:colOff>
      <xdr:row>0</xdr:row>
      <xdr:rowOff>30480</xdr:rowOff>
    </xdr:from>
    <xdr:to>
      <xdr:col>7</xdr:col>
      <xdr:colOff>830580</xdr:colOff>
      <xdr:row>2</xdr:row>
      <xdr:rowOff>83820</xdr:rowOff>
    </xdr:to>
    <xdr:pic>
      <xdr:nvPicPr>
        <xdr:cNvPr id="1038" name="Picture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5780" y="30480"/>
          <a:ext cx="83058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1278" name="Picture 1">
          <a:extLst>
            <a:ext uri="{FF2B5EF4-FFF2-40B4-BE49-F238E27FC236}">
              <a16:creationId xmlns:a16="http://schemas.microsoft.com/office/drawing/2014/main" id="{00000000-0008-0000-0900-00000E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12302" name="Picture 1">
          <a:extLst>
            <a:ext uri="{FF2B5EF4-FFF2-40B4-BE49-F238E27FC236}">
              <a16:creationId xmlns:a16="http://schemas.microsoft.com/office/drawing/2014/main" id="{00000000-0008-0000-0A00-00000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3326" name="Picture 1">
          <a:extLst>
            <a:ext uri="{FF2B5EF4-FFF2-40B4-BE49-F238E27FC236}">
              <a16:creationId xmlns:a16="http://schemas.microsoft.com/office/drawing/2014/main" id="{00000000-0008-0000-0B00-00000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14350" name="Picture 1">
          <a:extLst>
            <a:ext uri="{FF2B5EF4-FFF2-40B4-BE49-F238E27FC236}">
              <a16:creationId xmlns:a16="http://schemas.microsoft.com/office/drawing/2014/main" id="{00000000-0008-0000-0C00-00000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5374" name="Picture 1">
          <a:extLst>
            <a:ext uri="{FF2B5EF4-FFF2-40B4-BE49-F238E27FC236}">
              <a16:creationId xmlns:a16="http://schemas.microsoft.com/office/drawing/2014/main" id="{00000000-0008-0000-0D00-00000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77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</xdr:colOff>
      <xdr:row>0</xdr:row>
      <xdr:rowOff>53340</xdr:rowOff>
    </xdr:from>
    <xdr:to>
      <xdr:col>14</xdr:col>
      <xdr:colOff>662940</xdr:colOff>
      <xdr:row>1</xdr:row>
      <xdr:rowOff>274320</xdr:rowOff>
    </xdr:to>
    <xdr:pic>
      <xdr:nvPicPr>
        <xdr:cNvPr id="16398" name="Picture 2">
          <a:extLst>
            <a:ext uri="{FF2B5EF4-FFF2-40B4-BE49-F238E27FC236}">
              <a16:creationId xmlns:a16="http://schemas.microsoft.com/office/drawing/2014/main" id="{00000000-0008-0000-0E00-00000E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53340"/>
          <a:ext cx="60198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</xdr:rowOff>
    </xdr:from>
    <xdr:to>
      <xdr:col>3</xdr:col>
      <xdr:colOff>121920</xdr:colOff>
      <xdr:row>1</xdr:row>
      <xdr:rowOff>327660</xdr:rowOff>
    </xdr:to>
    <xdr:pic>
      <xdr:nvPicPr>
        <xdr:cNvPr id="17422" name="Picture 1">
          <a:extLst>
            <a:ext uri="{FF2B5EF4-FFF2-40B4-BE49-F238E27FC236}">
              <a16:creationId xmlns:a16="http://schemas.microsoft.com/office/drawing/2014/main" id="{00000000-0008-0000-0F00-00000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5240"/>
          <a:ext cx="8610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7620</xdr:rowOff>
    </xdr:from>
    <xdr:to>
      <xdr:col>8</xdr:col>
      <xdr:colOff>1211580</xdr:colOff>
      <xdr:row>2</xdr:row>
      <xdr:rowOff>160020</xdr:rowOff>
    </xdr:to>
    <xdr:pic>
      <xdr:nvPicPr>
        <xdr:cNvPr id="3099" name="Picture 1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7620"/>
          <a:ext cx="79248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434340</xdr:colOff>
      <xdr:row>27</xdr:row>
      <xdr:rowOff>0</xdr:rowOff>
    </xdr:from>
    <xdr:to>
      <xdr:col>8</xdr:col>
      <xdr:colOff>1219200</xdr:colOff>
      <xdr:row>29</xdr:row>
      <xdr:rowOff>152400</xdr:rowOff>
    </xdr:to>
    <xdr:pic>
      <xdr:nvPicPr>
        <xdr:cNvPr id="3100" name="Picture 3">
          <a:extLst>
            <a:ext uri="{FF2B5EF4-FFF2-40B4-BE49-F238E27FC236}">
              <a16:creationId xmlns:a16="http://schemas.microsoft.com/office/drawing/2014/main" id="{00000000-0008-0000-01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5128260"/>
          <a:ext cx="78486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4110" name="Picture 4">
          <a:extLst>
            <a:ext uri="{FF2B5EF4-FFF2-40B4-BE49-F238E27FC236}">
              <a16:creationId xmlns:a16="http://schemas.microsoft.com/office/drawing/2014/main" id="{00000000-0008-0000-0200-00000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5943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5134" name="Picture 1">
          <a:extLst>
            <a:ext uri="{FF2B5EF4-FFF2-40B4-BE49-F238E27FC236}">
              <a16:creationId xmlns:a16="http://schemas.microsoft.com/office/drawing/2014/main" id="{00000000-0008-0000-03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6158" name="Picture 1">
          <a:extLst>
            <a:ext uri="{FF2B5EF4-FFF2-40B4-BE49-F238E27FC236}">
              <a16:creationId xmlns:a16="http://schemas.microsoft.com/office/drawing/2014/main" id="{00000000-0008-0000-0400-00000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7182" name="Picture 1">
          <a:extLst>
            <a:ext uri="{FF2B5EF4-FFF2-40B4-BE49-F238E27FC236}">
              <a16:creationId xmlns:a16="http://schemas.microsoft.com/office/drawing/2014/main" id="{00000000-0008-0000-0500-00000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4008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8206" name="Picture 1">
          <a:extLst>
            <a:ext uri="{FF2B5EF4-FFF2-40B4-BE49-F238E27FC236}">
              <a16:creationId xmlns:a16="http://schemas.microsoft.com/office/drawing/2014/main" id="{00000000-0008-0000-0600-00000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9230" name="Picture 1">
          <a:extLst>
            <a:ext uri="{FF2B5EF4-FFF2-40B4-BE49-F238E27FC236}">
              <a16:creationId xmlns:a16="http://schemas.microsoft.com/office/drawing/2014/main" id="{00000000-0008-0000-0700-00000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0254" name="Picture 1">
          <a:extLst>
            <a:ext uri="{FF2B5EF4-FFF2-40B4-BE49-F238E27FC236}">
              <a16:creationId xmlns:a16="http://schemas.microsoft.com/office/drawing/2014/main" id="{00000000-0008-0000-0800-00000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629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3"/>
  <sheetViews>
    <sheetView showGridLines="0" workbookViewId="0">
      <selection activeCell="D7" sqref="D7:H7"/>
    </sheetView>
  </sheetViews>
  <sheetFormatPr baseColWidth="10" defaultColWidth="11.42578125" defaultRowHeight="12.75"/>
  <cols>
    <col min="1" max="1" width="19.85546875" customWidth="1"/>
    <col min="2" max="2" width="3.140625" customWidth="1"/>
    <col min="3" max="3" width="24.28515625" customWidth="1"/>
    <col min="4" max="4" width="17.28515625" customWidth="1"/>
    <col min="5" max="5" width="3.7109375" customWidth="1"/>
    <col min="7" max="7" width="39" customWidth="1"/>
    <col min="8" max="8" width="13" customWidth="1"/>
    <col min="9" max="9" width="7.42578125" style="1" customWidth="1"/>
    <col min="10" max="10" width="11.5703125" style="2" customWidth="1"/>
    <col min="11" max="11" width="7" style="2" customWidth="1"/>
    <col min="12" max="12" width="3.140625" customWidth="1"/>
    <col min="13" max="13" width="11.5703125" style="2" customWidth="1"/>
    <col min="14" max="14" width="7.140625" style="2" customWidth="1"/>
    <col min="15" max="15" width="3.140625" customWidth="1"/>
    <col min="16" max="16" width="11.5703125" style="2" customWidth="1"/>
    <col min="17" max="17" width="7" style="2" customWidth="1"/>
    <col min="18" max="18" width="3.140625" customWidth="1"/>
    <col min="19" max="19" width="11.5703125" style="2" customWidth="1"/>
    <col min="20" max="20" width="7" style="2" customWidth="1"/>
    <col min="21" max="21" width="3.140625" customWidth="1"/>
    <col min="22" max="22" width="11.5703125" style="2" customWidth="1"/>
    <col min="23" max="23" width="7" style="2" customWidth="1"/>
    <col min="24" max="24" width="3.140625" customWidth="1"/>
    <col min="25" max="25" width="11.5703125" style="2" customWidth="1"/>
    <col min="26" max="26" width="7" style="2" customWidth="1"/>
  </cols>
  <sheetData>
    <row r="1" spans="1:34" ht="33.75">
      <c r="A1" s="3" t="s">
        <v>0</v>
      </c>
      <c r="B1" s="4"/>
      <c r="C1" s="5"/>
      <c r="D1" s="6"/>
      <c r="E1" s="7"/>
      <c r="F1" s="7"/>
      <c r="G1" s="7"/>
      <c r="H1" s="8"/>
      <c r="I1" s="9"/>
      <c r="L1" s="10"/>
      <c r="O1" s="10"/>
      <c r="R1" s="10"/>
      <c r="U1" s="10"/>
      <c r="X1" s="10"/>
    </row>
    <row r="2" spans="1:34" ht="15.75">
      <c r="A2" s="11" t="s">
        <v>199</v>
      </c>
      <c r="B2" s="12"/>
      <c r="C2" s="12"/>
      <c r="D2" s="12"/>
      <c r="E2" s="13" t="s">
        <v>171</v>
      </c>
      <c r="F2" s="12"/>
      <c r="G2" s="12"/>
      <c r="H2" s="14"/>
    </row>
    <row r="3" spans="1:34" ht="14.45" customHeight="1">
      <c r="A3" s="15"/>
      <c r="B3" s="16"/>
      <c r="C3" s="16"/>
      <c r="D3" s="16"/>
      <c r="E3" s="16"/>
      <c r="F3" s="16"/>
      <c r="G3" s="16"/>
      <c r="H3" s="17"/>
    </row>
    <row r="4" spans="1:34" ht="5.0999999999999996" customHeight="1"/>
    <row r="5" spans="1:34" ht="25.5" customHeight="1">
      <c r="A5" s="18" t="s">
        <v>1</v>
      </c>
      <c r="B5" s="18"/>
      <c r="C5" s="19"/>
      <c r="D5" s="19"/>
      <c r="F5" s="20">
        <v>2025</v>
      </c>
      <c r="G5" s="21" t="s">
        <v>2</v>
      </c>
      <c r="I5" s="22"/>
      <c r="L5" s="23"/>
      <c r="O5" s="23"/>
      <c r="R5" s="23"/>
      <c r="U5" s="23"/>
      <c r="X5" s="23"/>
    </row>
    <row r="6" spans="1:34">
      <c r="A6" s="24"/>
      <c r="B6" s="25"/>
      <c r="C6" s="26"/>
      <c r="D6" s="26"/>
      <c r="L6" s="25"/>
      <c r="O6" s="25"/>
      <c r="R6" s="25"/>
      <c r="U6" s="25"/>
      <c r="X6" s="25"/>
    </row>
    <row r="7" spans="1:34" ht="24.95" customHeight="1">
      <c r="A7" s="382" t="s">
        <v>3</v>
      </c>
      <c r="B7" s="382"/>
      <c r="C7" s="382"/>
      <c r="D7" s="383" t="s">
        <v>197</v>
      </c>
      <c r="E7" s="383"/>
      <c r="F7" s="383"/>
      <c r="G7" s="383"/>
      <c r="H7" s="383"/>
    </row>
    <row r="8" spans="1:34" ht="15.95" customHeight="1">
      <c r="A8" s="27" t="s">
        <v>170</v>
      </c>
      <c r="B8" s="27"/>
      <c r="C8" s="27"/>
      <c r="D8" s="383" t="s">
        <v>189</v>
      </c>
      <c r="E8" s="383"/>
      <c r="F8" s="383"/>
      <c r="G8" s="383"/>
      <c r="H8" s="383"/>
      <c r="AC8" s="32"/>
      <c r="AD8" s="33"/>
    </row>
    <row r="9" spans="1:34" ht="15.95" customHeight="1">
      <c r="A9" s="382" t="str">
        <f>"Urlaubsanspruch in Stunden für das Jahr "&amp;F5&amp;":"</f>
        <v>Urlaubsanspruch in Stunden für das Jahr 2025:</v>
      </c>
      <c r="B9" s="382"/>
      <c r="C9" s="382"/>
      <c r="D9" s="34">
        <v>190</v>
      </c>
      <c r="E9" s="35" t="s">
        <v>13</v>
      </c>
      <c r="F9" s="36" t="s">
        <v>200</v>
      </c>
      <c r="G9" s="37"/>
      <c r="H9" s="37"/>
      <c r="AC9" s="32"/>
      <c r="AD9" s="33"/>
    </row>
    <row r="10" spans="1:34" ht="15.95" customHeight="1">
      <c r="A10" s="42" t="str">
        <f>"Resturlaub aus Vorjahr(en) per 31.12."&amp;F5-1&amp;":"</f>
        <v>Resturlaub aus Vorjahr(en) per 31.12.2024:</v>
      </c>
      <c r="D10" s="34">
        <v>0</v>
      </c>
      <c r="E10" t="s">
        <v>13</v>
      </c>
      <c r="F10" s="36" t="s">
        <v>16</v>
      </c>
      <c r="H10" s="37"/>
      <c r="AC10" s="32"/>
      <c r="AD10" s="33"/>
    </row>
    <row r="11" spans="1:34" ht="15.95" customHeight="1">
      <c r="A11" s="42" t="str">
        <f>"Urlaubsanspruch gesamt für "&amp;F5&amp;":"</f>
        <v>Urlaubsanspruch gesamt für 2025:</v>
      </c>
      <c r="D11" s="44">
        <f>SUM(D9:D10)</f>
        <v>190</v>
      </c>
      <c r="H11" s="37"/>
      <c r="AC11" s="45"/>
      <c r="AD11" s="33"/>
    </row>
    <row r="12" spans="1:34" ht="15.95" customHeight="1">
      <c r="A12" s="24"/>
      <c r="B12" s="31"/>
      <c r="C12" s="31"/>
      <c r="D12" s="46"/>
      <c r="E12" s="47"/>
      <c r="F12" s="37"/>
      <c r="G12" s="37"/>
      <c r="H12" s="37"/>
      <c r="AC12" s="45"/>
      <c r="AD12" s="33"/>
    </row>
    <row r="13" spans="1:34" s="49" customFormat="1" ht="15.95" customHeight="1">
      <c r="A13" s="382" t="str">
        <f>"Zeitguthaben/-defizit per 31.12."&amp;F5-1&amp;":"</f>
        <v>Zeitguthaben/-defizit per 31.12.2024:</v>
      </c>
      <c r="B13" s="382"/>
      <c r="C13" s="382"/>
      <c r="D13" s="34">
        <v>0</v>
      </c>
      <c r="E13" s="35" t="s">
        <v>13</v>
      </c>
      <c r="F13" s="37"/>
      <c r="G13" s="37"/>
      <c r="H13" s="48"/>
      <c r="AC13" s="45"/>
      <c r="AD13" s="33"/>
      <c r="AE13"/>
      <c r="AF13"/>
      <c r="AG13"/>
      <c r="AH13"/>
    </row>
    <row r="14" spans="1:34" s="49" customFormat="1" ht="15.95" customHeight="1">
      <c r="A14" s="24"/>
      <c r="B14" s="31"/>
      <c r="C14" s="31"/>
      <c r="D14" s="46"/>
      <c r="E14" s="47"/>
      <c r="F14" s="37"/>
      <c r="G14" s="37"/>
      <c r="H14" s="48"/>
      <c r="AC14" s="45"/>
      <c r="AD14" s="33"/>
      <c r="AE14"/>
      <c r="AF14"/>
      <c r="AG14"/>
      <c r="AH14"/>
    </row>
    <row r="15" spans="1:34" s="49" customFormat="1" ht="15.95" customHeight="1">
      <c r="A15" s="333" t="s">
        <v>168</v>
      </c>
      <c r="B15" s="106"/>
      <c r="C15" s="106"/>
      <c r="D15" s="106"/>
      <c r="E15" s="106"/>
      <c r="F15" s="106"/>
      <c r="G15" s="314"/>
      <c r="H15" s="48"/>
      <c r="AC15" s="45"/>
      <c r="AD15" s="33"/>
      <c r="AE15"/>
      <c r="AF15"/>
      <c r="AG15"/>
      <c r="AH15"/>
    </row>
    <row r="16" spans="1:34" s="49" customFormat="1" ht="15.95" customHeight="1">
      <c r="A16" s="334" t="s">
        <v>172</v>
      </c>
      <c r="B16" s="334"/>
      <c r="C16" s="334"/>
      <c r="D16" s="334"/>
      <c r="E16" s="334"/>
      <c r="F16" s="334"/>
      <c r="G16" s="334"/>
      <c r="H16" s="48"/>
      <c r="AC16" s="45"/>
      <c r="AD16" s="33"/>
      <c r="AE16"/>
      <c r="AF16"/>
      <c r="AG16"/>
      <c r="AH16"/>
    </row>
    <row r="17" spans="1:34" s="49" customFormat="1" ht="15.95" customHeight="1">
      <c r="A17" s="335" t="s">
        <v>173</v>
      </c>
      <c r="B17" s="336"/>
      <c r="C17" s="336"/>
      <c r="D17" s="336"/>
      <c r="E17" s="336"/>
      <c r="F17" s="336"/>
      <c r="G17" s="336"/>
      <c r="H17" s="48"/>
      <c r="AC17" s="45"/>
      <c r="AD17" s="33"/>
      <c r="AE17"/>
      <c r="AF17"/>
      <c r="AG17"/>
      <c r="AH17"/>
    </row>
    <row r="18" spans="1:34" s="49" customFormat="1" ht="15.95" customHeight="1">
      <c r="A18" s="337" t="s">
        <v>169</v>
      </c>
      <c r="B18" s="338"/>
      <c r="C18" s="338"/>
      <c r="D18" s="338"/>
      <c r="E18" s="338"/>
      <c r="F18" s="338"/>
      <c r="G18" s="338"/>
      <c r="H18" s="48"/>
      <c r="AC18" s="45"/>
      <c r="AD18" s="33"/>
      <c r="AE18"/>
      <c r="AF18"/>
      <c r="AG18"/>
      <c r="AH18"/>
    </row>
    <row r="19" spans="1:34" s="49" customFormat="1" ht="15.95" customHeight="1">
      <c r="A19" s="337"/>
      <c r="B19" s="338"/>
      <c r="C19" s="338"/>
      <c r="D19" s="338"/>
      <c r="E19" s="338"/>
      <c r="F19" s="338"/>
      <c r="G19" s="338"/>
      <c r="H19" s="48"/>
      <c r="AC19" s="45"/>
      <c r="AD19" s="33"/>
      <c r="AE19"/>
      <c r="AF19"/>
      <c r="AG19"/>
      <c r="AH19"/>
    </row>
    <row r="20" spans="1:34" s="49" customFormat="1" ht="15.95" customHeight="1">
      <c r="A20" s="52" t="s">
        <v>27</v>
      </c>
      <c r="B20" s="53">
        <v>2</v>
      </c>
      <c r="C20" s="52" t="s">
        <v>14</v>
      </c>
      <c r="D20" s="345">
        <v>8</v>
      </c>
      <c r="E20" s="35" t="s">
        <v>13</v>
      </c>
      <c r="F20" s="48" t="str">
        <f>IF(D20="Ersatzruhetag","   ",IF(TYPE(D20)=2,"Bitte einen Zahlenwert, das Wort  Ersatzruhetag  oder  0,00  eintragen",IF(D20&gt;10,"Die tägliche Normalarbeitszeit darf nicht mehr als 10 h betragen - Bitte korrigieren",IF(D20&lt;0,"Ein Wert kleiner NULL ist nicht möglich - Bitte korrigieren",""))))</f>
        <v/>
      </c>
      <c r="G20" s="48"/>
      <c r="H20" s="48"/>
      <c r="AC20" s="45"/>
      <c r="AD20" s="33"/>
      <c r="AE20"/>
      <c r="AF20"/>
      <c r="AG20"/>
      <c r="AH20"/>
    </row>
    <row r="21" spans="1:34" s="49" customFormat="1" ht="15" customHeight="1">
      <c r="A21" s="57" t="s">
        <v>30</v>
      </c>
      <c r="B21" s="53">
        <v>3</v>
      </c>
      <c r="C21" s="52" t="s">
        <v>17</v>
      </c>
      <c r="D21" s="345">
        <v>8</v>
      </c>
      <c r="E21" s="35" t="s">
        <v>13</v>
      </c>
      <c r="F21" s="48" t="str">
        <f t="shared" ref="F21:F26" si="0">IF(D21="Ersatzruhetag","   ",IF(TYPE(D21)=2,"Bitte einen Zahlenwert, das Wort  Ersatzruhetag  oder  0,00  eintragen",IF(D21&gt;10,"Die tägliche Normalarbeitszeit darf nicht mehr als 10 h betragen - Bitte korrigieren",IF(D21&lt;0,"Ein Wert kleiner NULL ist nicht möglich - Bitte korrigieren",""))))</f>
        <v/>
      </c>
      <c r="G21" s="48"/>
      <c r="H21" s="48"/>
      <c r="AC21" s="45"/>
      <c r="AD21" s="33"/>
      <c r="AE21"/>
      <c r="AF21"/>
      <c r="AG21"/>
      <c r="AH21"/>
    </row>
    <row r="22" spans="1:34" s="49" customFormat="1" ht="15" customHeight="1">
      <c r="A22" s="62"/>
      <c r="B22" s="53">
        <v>4</v>
      </c>
      <c r="C22" s="52" t="s">
        <v>19</v>
      </c>
      <c r="D22" s="345">
        <v>8</v>
      </c>
      <c r="E22" s="35" t="s">
        <v>13</v>
      </c>
      <c r="F22" s="48" t="str">
        <f t="shared" si="0"/>
        <v/>
      </c>
      <c r="H22" s="2"/>
      <c r="AC22" s="45"/>
      <c r="AD22" s="33"/>
      <c r="AE22"/>
      <c r="AF22"/>
      <c r="AG22"/>
      <c r="AH22"/>
    </row>
    <row r="23" spans="1:34" s="49" customFormat="1" ht="15.95" customHeight="1">
      <c r="A23" s="62"/>
      <c r="B23" s="53">
        <v>5</v>
      </c>
      <c r="C23" s="52" t="s">
        <v>21</v>
      </c>
      <c r="D23" s="345">
        <v>8</v>
      </c>
      <c r="E23" s="35" t="s">
        <v>13</v>
      </c>
      <c r="F23" s="48" t="str">
        <f t="shared" si="0"/>
        <v/>
      </c>
      <c r="H23" s="65"/>
      <c r="AC23" s="45"/>
      <c r="AD23" s="33"/>
      <c r="AE23"/>
      <c r="AF23"/>
      <c r="AG23"/>
      <c r="AH23"/>
    </row>
    <row r="24" spans="1:34" s="49" customFormat="1" ht="15.95" customHeight="1">
      <c r="A24" s="62"/>
      <c r="B24" s="53">
        <v>6</v>
      </c>
      <c r="C24" s="52" t="s">
        <v>23</v>
      </c>
      <c r="D24" s="345">
        <v>8</v>
      </c>
      <c r="E24" s="35" t="s">
        <v>13</v>
      </c>
      <c r="F24" s="48" t="str">
        <f t="shared" si="0"/>
        <v/>
      </c>
      <c r="AC24" s="45"/>
      <c r="AD24" s="33"/>
      <c r="AE24"/>
      <c r="AF24"/>
      <c r="AG24"/>
      <c r="AH24"/>
    </row>
    <row r="25" spans="1:34" s="49" customFormat="1" ht="15.95" customHeight="1">
      <c r="B25" s="53">
        <v>7</v>
      </c>
      <c r="C25" s="67" t="s">
        <v>25</v>
      </c>
      <c r="D25" s="345">
        <v>0</v>
      </c>
      <c r="E25" s="49" t="s">
        <v>13</v>
      </c>
      <c r="F25" s="48" t="str">
        <f t="shared" si="0"/>
        <v/>
      </c>
      <c r="G25" s="68"/>
      <c r="AC25" s="45"/>
      <c r="AD25" s="33"/>
      <c r="AE25"/>
      <c r="AF25"/>
      <c r="AG25"/>
      <c r="AH25"/>
    </row>
    <row r="26" spans="1:34" s="49" customFormat="1" ht="15.95" customHeight="1">
      <c r="A26" s="52"/>
      <c r="B26" s="53">
        <v>1</v>
      </c>
      <c r="C26" s="70" t="s">
        <v>192</v>
      </c>
      <c r="D26" s="345">
        <v>0</v>
      </c>
      <c r="E26" s="35" t="s">
        <v>13</v>
      </c>
      <c r="F26" s="48" t="str">
        <f t="shared" si="0"/>
        <v/>
      </c>
      <c r="J26" s="339" t="s">
        <v>33</v>
      </c>
      <c r="AC26" s="45"/>
      <c r="AD26" s="33"/>
      <c r="AE26"/>
      <c r="AF26"/>
      <c r="AG26"/>
      <c r="AH26"/>
    </row>
    <row r="27" spans="1:34" s="49" customFormat="1" ht="15.95" customHeight="1">
      <c r="A27" s="52" t="s">
        <v>47</v>
      </c>
      <c r="B27" s="52"/>
      <c r="C27" s="52"/>
      <c r="D27" s="341">
        <f>SUM(D20:D26)</f>
        <v>40</v>
      </c>
      <c r="E27" s="71" t="s">
        <v>13</v>
      </c>
      <c r="J27" s="339" t="s">
        <v>36</v>
      </c>
      <c r="AC27" s="45"/>
      <c r="AD27" s="33"/>
      <c r="AE27"/>
      <c r="AF27"/>
      <c r="AG27"/>
      <c r="AH27"/>
    </row>
    <row r="28" spans="1:34" ht="15.95" customHeight="1">
      <c r="A28" s="52"/>
      <c r="B28" s="52"/>
      <c r="C28" s="52"/>
      <c r="D28" s="72"/>
      <c r="E28" s="35"/>
      <c r="J28" s="340" t="s">
        <v>38</v>
      </c>
      <c r="AC28" s="45"/>
      <c r="AD28" s="33"/>
    </row>
    <row r="29" spans="1:34" ht="15.95" customHeight="1">
      <c r="A29" s="52" t="s">
        <v>49</v>
      </c>
      <c r="B29" s="52"/>
      <c r="C29" s="52"/>
      <c r="D29" s="346">
        <v>5</v>
      </c>
      <c r="E29" s="71" t="s">
        <v>50</v>
      </c>
      <c r="AC29" s="45"/>
      <c r="AD29" s="45"/>
    </row>
    <row r="30" spans="1:34" ht="15.95" customHeight="1">
      <c r="A30" s="73"/>
      <c r="B30" s="73"/>
      <c r="AC30" s="45"/>
      <c r="AD30" s="45"/>
    </row>
    <row r="31" spans="1:34" s="71" customFormat="1" ht="15.95" customHeight="1">
      <c r="AC31" s="45"/>
      <c r="AD31" s="45"/>
      <c r="AE31"/>
      <c r="AF31"/>
      <c r="AG31"/>
      <c r="AH31"/>
    </row>
    <row r="32" spans="1:34" ht="15.95" customHeight="1">
      <c r="A32" s="74" t="s">
        <v>52</v>
      </c>
      <c r="F32" t="s">
        <v>53</v>
      </c>
      <c r="I32" s="28"/>
      <c r="J32" s="29" t="s">
        <v>5</v>
      </c>
      <c r="K32" s="30" t="s">
        <v>6</v>
      </c>
      <c r="L32" s="31"/>
      <c r="M32" s="29" t="s">
        <v>7</v>
      </c>
      <c r="N32" s="30" t="s">
        <v>6</v>
      </c>
      <c r="O32" s="31"/>
      <c r="P32" s="29" t="s">
        <v>8</v>
      </c>
      <c r="Q32" s="30" t="s">
        <v>6</v>
      </c>
      <c r="R32" s="31"/>
      <c r="S32" s="29" t="s">
        <v>9</v>
      </c>
      <c r="T32" s="30" t="s">
        <v>6</v>
      </c>
      <c r="U32" s="31"/>
      <c r="V32" s="29" t="s">
        <v>10</v>
      </c>
      <c r="W32" s="30" t="s">
        <v>6</v>
      </c>
      <c r="X32" s="31"/>
      <c r="Y32" s="29" t="s">
        <v>11</v>
      </c>
      <c r="Z32" s="30" t="s">
        <v>6</v>
      </c>
    </row>
    <row r="33" spans="1:26" ht="15.95" customHeight="1">
      <c r="I33" s="38">
        <v>2</v>
      </c>
      <c r="J33" s="39" t="s">
        <v>14</v>
      </c>
      <c r="K33" s="40">
        <f>$D$20</f>
        <v>8</v>
      </c>
      <c r="L33" s="41">
        <v>2</v>
      </c>
      <c r="M33" s="39" t="s">
        <v>14</v>
      </c>
      <c r="N33" s="372">
        <f t="shared" ref="N33:N39" si="1">K33</f>
        <v>8</v>
      </c>
      <c r="O33" s="41">
        <v>2</v>
      </c>
      <c r="P33" s="39" t="s">
        <v>14</v>
      </c>
      <c r="Q33" s="372">
        <f t="shared" ref="Q33:Q39" si="2">N33</f>
        <v>8</v>
      </c>
      <c r="R33" s="41">
        <v>2</v>
      </c>
      <c r="S33" s="39" t="s">
        <v>14</v>
      </c>
      <c r="T33" s="372">
        <f t="shared" ref="T33:T39" si="3">Q33</f>
        <v>8</v>
      </c>
      <c r="U33" s="41">
        <v>2</v>
      </c>
      <c r="V33" s="39" t="s">
        <v>14</v>
      </c>
      <c r="W33" s="372">
        <f t="shared" ref="W33:W39" si="4">T33</f>
        <v>8</v>
      </c>
      <c r="X33" s="41">
        <v>2</v>
      </c>
      <c r="Y33" s="39" t="s">
        <v>14</v>
      </c>
      <c r="Z33" s="372">
        <f t="shared" ref="Z33:Z39" si="5">W33</f>
        <v>8</v>
      </c>
    </row>
    <row r="34" spans="1:26" ht="14.1" customHeight="1">
      <c r="A34" s="42" t="s">
        <v>54</v>
      </c>
      <c r="B34" s="76">
        <v>4</v>
      </c>
      <c r="C34" s="77">
        <v>1</v>
      </c>
      <c r="D34" s="78" t="s">
        <v>186</v>
      </c>
      <c r="E34" s="79"/>
      <c r="F34" s="79"/>
      <c r="G34" s="79"/>
      <c r="H34" s="79"/>
      <c r="I34" s="38">
        <v>3</v>
      </c>
      <c r="J34" s="39" t="s">
        <v>17</v>
      </c>
      <c r="K34" s="43">
        <f>$D$21</f>
        <v>8</v>
      </c>
      <c r="L34" s="41">
        <v>3</v>
      </c>
      <c r="M34" s="39" t="s">
        <v>17</v>
      </c>
      <c r="N34" s="373">
        <f t="shared" si="1"/>
        <v>8</v>
      </c>
      <c r="O34" s="41">
        <v>3</v>
      </c>
      <c r="P34" s="39" t="s">
        <v>17</v>
      </c>
      <c r="Q34" s="373">
        <f t="shared" si="2"/>
        <v>8</v>
      </c>
      <c r="R34" s="41">
        <v>3</v>
      </c>
      <c r="S34" s="39" t="s">
        <v>17</v>
      </c>
      <c r="T34" s="373">
        <f t="shared" si="3"/>
        <v>8</v>
      </c>
      <c r="U34" s="41">
        <v>3</v>
      </c>
      <c r="V34" s="39" t="s">
        <v>17</v>
      </c>
      <c r="W34" s="373">
        <f t="shared" si="4"/>
        <v>8</v>
      </c>
      <c r="X34" s="41">
        <v>3</v>
      </c>
      <c r="Y34" s="39" t="s">
        <v>17</v>
      </c>
      <c r="Z34" s="373">
        <f t="shared" si="5"/>
        <v>8</v>
      </c>
    </row>
    <row r="35" spans="1:26" ht="14.1" customHeight="1">
      <c r="B35" s="26"/>
      <c r="C35" s="77">
        <v>2</v>
      </c>
      <c r="D35" s="78" t="s">
        <v>187</v>
      </c>
      <c r="E35" s="79"/>
      <c r="F35" s="79"/>
      <c r="G35" s="79"/>
      <c r="H35" s="79"/>
      <c r="I35" s="38">
        <v>4</v>
      </c>
      <c r="J35" s="39" t="s">
        <v>19</v>
      </c>
      <c r="K35" s="43">
        <f>$D$22</f>
        <v>8</v>
      </c>
      <c r="L35" s="41">
        <v>4</v>
      </c>
      <c r="M35" s="39" t="s">
        <v>19</v>
      </c>
      <c r="N35" s="373">
        <f t="shared" si="1"/>
        <v>8</v>
      </c>
      <c r="O35" s="41">
        <v>4</v>
      </c>
      <c r="P35" s="39" t="s">
        <v>19</v>
      </c>
      <c r="Q35" s="373">
        <f t="shared" si="2"/>
        <v>8</v>
      </c>
      <c r="R35" s="41">
        <v>4</v>
      </c>
      <c r="S35" s="39" t="s">
        <v>19</v>
      </c>
      <c r="T35" s="373">
        <f t="shared" si="3"/>
        <v>8</v>
      </c>
      <c r="U35" s="41">
        <v>4</v>
      </c>
      <c r="V35" s="39" t="s">
        <v>19</v>
      </c>
      <c r="W35" s="373">
        <f t="shared" si="4"/>
        <v>8</v>
      </c>
      <c r="X35" s="41">
        <v>4</v>
      </c>
      <c r="Y35" s="39" t="s">
        <v>19</v>
      </c>
      <c r="Z35" s="373">
        <f t="shared" si="5"/>
        <v>8</v>
      </c>
    </row>
    <row r="36" spans="1:26" ht="14.1" customHeight="1">
      <c r="A36" s="80"/>
      <c r="B36" s="81"/>
      <c r="C36" s="77">
        <v>3</v>
      </c>
      <c r="D36" s="78" t="s">
        <v>188</v>
      </c>
      <c r="E36" s="79"/>
      <c r="F36" s="79"/>
      <c r="G36" s="79"/>
      <c r="H36" s="79"/>
      <c r="I36" s="38">
        <v>5</v>
      </c>
      <c r="J36" s="39" t="s">
        <v>21</v>
      </c>
      <c r="K36" s="43">
        <f>$D$23</f>
        <v>8</v>
      </c>
      <c r="L36" s="41">
        <v>5</v>
      </c>
      <c r="M36" s="39" t="s">
        <v>21</v>
      </c>
      <c r="N36" s="373">
        <f t="shared" si="1"/>
        <v>8</v>
      </c>
      <c r="O36" s="41">
        <v>5</v>
      </c>
      <c r="P36" s="39" t="s">
        <v>21</v>
      </c>
      <c r="Q36" s="373">
        <f t="shared" si="2"/>
        <v>8</v>
      </c>
      <c r="R36" s="41">
        <v>5</v>
      </c>
      <c r="S36" s="39" t="s">
        <v>21</v>
      </c>
      <c r="T36" s="373">
        <f t="shared" si="3"/>
        <v>8</v>
      </c>
      <c r="U36" s="41">
        <v>5</v>
      </c>
      <c r="V36" s="39" t="s">
        <v>21</v>
      </c>
      <c r="W36" s="373">
        <f t="shared" si="4"/>
        <v>8</v>
      </c>
      <c r="X36" s="41">
        <v>5</v>
      </c>
      <c r="Y36" s="39" t="s">
        <v>21</v>
      </c>
      <c r="Z36" s="373">
        <f t="shared" si="5"/>
        <v>8</v>
      </c>
    </row>
    <row r="37" spans="1:26" ht="15.95" customHeight="1">
      <c r="A37" s="82"/>
      <c r="C37" s="77">
        <v>4</v>
      </c>
      <c r="D37" s="78" t="s">
        <v>189</v>
      </c>
      <c r="I37" s="38">
        <v>6</v>
      </c>
      <c r="J37" s="39" t="s">
        <v>23</v>
      </c>
      <c r="K37" s="43">
        <f>$D$24</f>
        <v>8</v>
      </c>
      <c r="L37" s="41">
        <v>6</v>
      </c>
      <c r="M37" s="39" t="s">
        <v>23</v>
      </c>
      <c r="N37" s="373">
        <f t="shared" si="1"/>
        <v>8</v>
      </c>
      <c r="O37" s="41">
        <v>6</v>
      </c>
      <c r="P37" s="39" t="s">
        <v>23</v>
      </c>
      <c r="Q37" s="373">
        <f t="shared" si="2"/>
        <v>8</v>
      </c>
      <c r="R37" s="41">
        <v>6</v>
      </c>
      <c r="S37" s="39" t="s">
        <v>23</v>
      </c>
      <c r="T37" s="373">
        <f t="shared" si="3"/>
        <v>8</v>
      </c>
      <c r="U37" s="41">
        <v>6</v>
      </c>
      <c r="V37" s="39" t="s">
        <v>23</v>
      </c>
      <c r="W37" s="373">
        <f t="shared" si="4"/>
        <v>8</v>
      </c>
      <c r="X37" s="41">
        <v>6</v>
      </c>
      <c r="Y37" s="39" t="s">
        <v>23</v>
      </c>
      <c r="Z37" s="373">
        <f t="shared" si="5"/>
        <v>8</v>
      </c>
    </row>
    <row r="38" spans="1:26" ht="15.95" customHeight="1">
      <c r="A38" t="str">
        <f>IF(B34&lt;&gt;1,IF(B34&lt;&gt;2,IF(B34&lt;&gt;3,IF(B34&lt;&gt;4,"ACHTUNG: Arbeitszeitmodell wurde nicht korrekt definiert",""),""),""),"")</f>
        <v/>
      </c>
      <c r="I38" s="38">
        <v>7</v>
      </c>
      <c r="J38" s="50" t="s">
        <v>25</v>
      </c>
      <c r="K38" s="51">
        <f>$D$25</f>
        <v>0</v>
      </c>
      <c r="L38" s="41">
        <v>7</v>
      </c>
      <c r="M38" s="50" t="s">
        <v>25</v>
      </c>
      <c r="N38" s="374">
        <f t="shared" si="1"/>
        <v>0</v>
      </c>
      <c r="O38" s="41">
        <v>7</v>
      </c>
      <c r="P38" s="50" t="s">
        <v>25</v>
      </c>
      <c r="Q38" s="374">
        <f t="shared" si="2"/>
        <v>0</v>
      </c>
      <c r="R38" s="41">
        <v>7</v>
      </c>
      <c r="S38" s="50" t="s">
        <v>25</v>
      </c>
      <c r="T38" s="374">
        <f t="shared" si="3"/>
        <v>0</v>
      </c>
      <c r="U38" s="41">
        <v>7</v>
      </c>
      <c r="V38" s="50" t="s">
        <v>25</v>
      </c>
      <c r="W38" s="374">
        <f t="shared" si="4"/>
        <v>0</v>
      </c>
      <c r="X38" s="41">
        <v>7</v>
      </c>
      <c r="Y38" s="50" t="s">
        <v>25</v>
      </c>
      <c r="Z38" s="374">
        <f t="shared" si="5"/>
        <v>0</v>
      </c>
    </row>
    <row r="39" spans="1:26" ht="15.95" customHeight="1">
      <c r="A39" s="42" t="s">
        <v>55</v>
      </c>
      <c r="D39" s="83" t="s">
        <v>198</v>
      </c>
      <c r="E39" s="84"/>
      <c r="F39" s="84"/>
      <c r="G39" s="85"/>
      <c r="I39" s="38">
        <v>1</v>
      </c>
      <c r="J39" s="50" t="s">
        <v>192</v>
      </c>
      <c r="K39" s="51">
        <f>$D$26</f>
        <v>0</v>
      </c>
      <c r="L39" s="41">
        <v>1</v>
      </c>
      <c r="M39" s="50" t="s">
        <v>192</v>
      </c>
      <c r="N39" s="374">
        <f t="shared" si="1"/>
        <v>0</v>
      </c>
      <c r="O39" s="41">
        <v>1</v>
      </c>
      <c r="P39" s="50" t="s">
        <v>192</v>
      </c>
      <c r="Q39" s="374">
        <f t="shared" si="2"/>
        <v>0</v>
      </c>
      <c r="R39" s="41">
        <v>1</v>
      </c>
      <c r="S39" s="50" t="s">
        <v>192</v>
      </c>
      <c r="T39" s="374">
        <f t="shared" si="3"/>
        <v>0</v>
      </c>
      <c r="U39" s="41">
        <v>1</v>
      </c>
      <c r="V39" s="50" t="s">
        <v>192</v>
      </c>
      <c r="W39" s="374">
        <f t="shared" si="4"/>
        <v>0</v>
      </c>
      <c r="X39" s="41">
        <v>1</v>
      </c>
      <c r="Y39" s="50" t="s">
        <v>192</v>
      </c>
      <c r="Z39" s="374">
        <f t="shared" si="5"/>
        <v>0</v>
      </c>
    </row>
    <row r="40" spans="1:26" ht="15.95" customHeight="1">
      <c r="A40" s="42"/>
      <c r="D40" s="82"/>
      <c r="I40" s="54"/>
      <c r="J40" s="55" t="s">
        <v>28</v>
      </c>
      <c r="K40" s="56">
        <f>SUM(K33:K39)</f>
        <v>40</v>
      </c>
      <c r="L40" s="49"/>
      <c r="M40" s="55" t="s">
        <v>28</v>
      </c>
      <c r="N40" s="56">
        <f>SUM(N33:N39)</f>
        <v>40</v>
      </c>
      <c r="O40" s="49"/>
      <c r="P40" s="55" t="s">
        <v>28</v>
      </c>
      <c r="Q40" s="56">
        <f>SUM(Q33:Q39)</f>
        <v>40</v>
      </c>
      <c r="R40" s="49"/>
      <c r="S40" s="55" t="s">
        <v>28</v>
      </c>
      <c r="T40" s="56">
        <f>SUM(T33:T39)</f>
        <v>40</v>
      </c>
      <c r="U40" s="49"/>
      <c r="V40" s="55" t="s">
        <v>28</v>
      </c>
      <c r="W40" s="56">
        <f>SUM(W33:W39)</f>
        <v>40</v>
      </c>
      <c r="X40" s="49"/>
      <c r="Y40" s="55" t="s">
        <v>28</v>
      </c>
      <c r="Z40" s="56">
        <f>SUM(Z33:Z39)</f>
        <v>40</v>
      </c>
    </row>
    <row r="41" spans="1:26" ht="15.95" customHeight="1">
      <c r="A41" s="42"/>
      <c r="D41" s="86" t="s">
        <v>56</v>
      </c>
      <c r="I41" s="28"/>
      <c r="J41" s="58"/>
      <c r="K41" s="59"/>
      <c r="L41" s="60"/>
      <c r="M41" s="58" t="s">
        <v>31</v>
      </c>
      <c r="N41" s="61">
        <v>0</v>
      </c>
      <c r="O41" s="60"/>
      <c r="P41" s="58" t="s">
        <v>31</v>
      </c>
      <c r="Q41" s="61">
        <v>0</v>
      </c>
      <c r="R41" s="60"/>
      <c r="S41" s="58" t="s">
        <v>31</v>
      </c>
      <c r="T41" s="61">
        <v>0</v>
      </c>
      <c r="U41" s="60"/>
      <c r="V41" s="58" t="s">
        <v>31</v>
      </c>
      <c r="W41" s="61">
        <v>0</v>
      </c>
      <c r="X41" s="60"/>
      <c r="Y41" s="58" t="s">
        <v>31</v>
      </c>
      <c r="Z41" s="61">
        <v>0</v>
      </c>
    </row>
    <row r="42" spans="1:26" ht="15.95" customHeight="1">
      <c r="A42" s="87" t="str">
        <f>"Feiertage/Dienstfreie Tage im Jahr "&amp;F5</f>
        <v>Feiertage/Dienstfreie Tage im Jahr 2025</v>
      </c>
      <c r="B42" s="87"/>
      <c r="C42" s="87"/>
      <c r="D42" s="344" t="s">
        <v>57</v>
      </c>
      <c r="E42" s="89"/>
      <c r="F42" s="89"/>
      <c r="G42" s="88"/>
      <c r="H42" s="88"/>
      <c r="I42" s="31"/>
      <c r="J42" s="58" t="s">
        <v>34</v>
      </c>
      <c r="K42" s="63">
        <f>B34</f>
        <v>4</v>
      </c>
      <c r="L42" s="64"/>
      <c r="M42" s="58" t="s">
        <v>34</v>
      </c>
      <c r="N42" s="63">
        <f>K42</f>
        <v>4</v>
      </c>
      <c r="O42" s="64"/>
      <c r="P42" s="58" t="s">
        <v>34</v>
      </c>
      <c r="Q42" s="63">
        <f>N42</f>
        <v>4</v>
      </c>
      <c r="R42" s="64"/>
      <c r="S42" s="58" t="s">
        <v>34</v>
      </c>
      <c r="T42" s="63">
        <f>Q42</f>
        <v>4</v>
      </c>
      <c r="U42" s="64"/>
      <c r="V42" s="58" t="s">
        <v>34</v>
      </c>
      <c r="W42" s="63">
        <f>T42</f>
        <v>4</v>
      </c>
      <c r="X42" s="64"/>
      <c r="Y42" s="58" t="s">
        <v>34</v>
      </c>
      <c r="Z42" s="63">
        <f>W42</f>
        <v>4</v>
      </c>
    </row>
    <row r="43" spans="1:26" ht="15.95" customHeight="1">
      <c r="A43" s="91">
        <f>DATE(F$5,1,1)</f>
        <v>45658</v>
      </c>
      <c r="B43" s="75"/>
      <c r="C43" s="90" t="s">
        <v>58</v>
      </c>
      <c r="D43" s="9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95" customHeight="1">
      <c r="A44" s="91">
        <f>DATE(F$5,1,6)</f>
        <v>45663</v>
      </c>
      <c r="B44" s="75"/>
      <c r="C44" s="90" t="s">
        <v>59</v>
      </c>
      <c r="D44" s="94"/>
      <c r="F44" s="2"/>
      <c r="G44" s="349" t="s">
        <v>182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95" customHeight="1" thickBot="1">
      <c r="A45" s="95" t="str">
        <f>IF(D45=1,DATE(F$5,3,19),"nicht frei")</f>
        <v>nicht frei</v>
      </c>
      <c r="B45" s="96"/>
      <c r="C45" s="97" t="s">
        <v>60</v>
      </c>
      <c r="D45" s="76"/>
      <c r="F45" s="64"/>
      <c r="G45" s="64"/>
      <c r="I45" s="69"/>
      <c r="J45" s="29" t="s">
        <v>40</v>
      </c>
      <c r="K45" s="30" t="s">
        <v>6</v>
      </c>
      <c r="L45" s="31"/>
      <c r="M45" s="29" t="s">
        <v>41</v>
      </c>
      <c r="N45" s="30" t="s">
        <v>6</v>
      </c>
      <c r="O45" s="31"/>
      <c r="P45" s="29" t="s">
        <v>42</v>
      </c>
      <c r="Q45" s="30" t="s">
        <v>6</v>
      </c>
      <c r="R45" s="31"/>
      <c r="S45" s="29" t="s">
        <v>43</v>
      </c>
      <c r="T45" s="30" t="s">
        <v>6</v>
      </c>
      <c r="U45" s="31"/>
      <c r="V45" s="29" t="s">
        <v>44</v>
      </c>
      <c r="W45" s="30" t="s">
        <v>6</v>
      </c>
      <c r="X45" s="31"/>
      <c r="Y45" s="29" t="s">
        <v>45</v>
      </c>
      <c r="Z45" s="30" t="s">
        <v>6</v>
      </c>
    </row>
    <row r="46" spans="1:26" ht="15.95" customHeight="1" thickBot="1">
      <c r="A46" s="95" t="str">
        <f>IF(D46=1,A48-2,"nicht frei")</f>
        <v>nicht frei</v>
      </c>
      <c r="B46" s="97"/>
      <c r="C46" s="97" t="s">
        <v>61</v>
      </c>
      <c r="D46" s="76"/>
      <c r="F46" s="64"/>
      <c r="G46" s="113" t="s">
        <v>178</v>
      </c>
      <c r="I46" s="38">
        <v>2</v>
      </c>
      <c r="J46" s="39" t="s">
        <v>14</v>
      </c>
      <c r="K46" s="372">
        <f t="shared" ref="K46:K52" si="6">Z33</f>
        <v>8</v>
      </c>
      <c r="L46" s="41">
        <v>2</v>
      </c>
      <c r="M46" s="39" t="s">
        <v>14</v>
      </c>
      <c r="N46" s="372">
        <f t="shared" ref="N46:N52" si="7">K46</f>
        <v>8</v>
      </c>
      <c r="O46" s="41">
        <v>2</v>
      </c>
      <c r="P46" s="39" t="s">
        <v>14</v>
      </c>
      <c r="Q46" s="372">
        <f t="shared" ref="Q46:Q52" si="8">N46</f>
        <v>8</v>
      </c>
      <c r="R46" s="41">
        <v>2</v>
      </c>
      <c r="S46" s="39" t="s">
        <v>14</v>
      </c>
      <c r="T46" s="372">
        <f t="shared" ref="T46:T52" si="9">Q46</f>
        <v>8</v>
      </c>
      <c r="U46" s="41">
        <v>2</v>
      </c>
      <c r="V46" s="39" t="s">
        <v>14</v>
      </c>
      <c r="W46" s="372">
        <f t="shared" ref="W46:W52" si="10">T46</f>
        <v>8</v>
      </c>
      <c r="X46" s="41">
        <v>2</v>
      </c>
      <c r="Y46" s="39" t="s">
        <v>14</v>
      </c>
      <c r="Z46" s="372">
        <f t="shared" ref="Z46:Z52" si="11">W46</f>
        <v>8</v>
      </c>
    </row>
    <row r="47" spans="1:26" ht="15.95" customHeight="1">
      <c r="A47" s="91"/>
      <c r="B47" s="90"/>
      <c r="C47" s="90"/>
      <c r="D47" s="98"/>
      <c r="F47" s="64"/>
      <c r="G47" s="347" t="s">
        <v>175</v>
      </c>
      <c r="I47" s="38">
        <v>3</v>
      </c>
      <c r="J47" s="39" t="s">
        <v>17</v>
      </c>
      <c r="K47" s="373">
        <f t="shared" si="6"/>
        <v>8</v>
      </c>
      <c r="L47" s="41">
        <v>3</v>
      </c>
      <c r="M47" s="39" t="s">
        <v>17</v>
      </c>
      <c r="N47" s="373">
        <f t="shared" si="7"/>
        <v>8</v>
      </c>
      <c r="O47" s="41">
        <v>3</v>
      </c>
      <c r="P47" s="39" t="s">
        <v>17</v>
      </c>
      <c r="Q47" s="373">
        <f t="shared" si="8"/>
        <v>8</v>
      </c>
      <c r="R47" s="41">
        <v>3</v>
      </c>
      <c r="S47" s="39" t="s">
        <v>17</v>
      </c>
      <c r="T47" s="373">
        <f t="shared" si="9"/>
        <v>8</v>
      </c>
      <c r="U47" s="41">
        <v>3</v>
      </c>
      <c r="V47" s="39" t="s">
        <v>17</v>
      </c>
      <c r="W47" s="373">
        <f t="shared" si="10"/>
        <v>8</v>
      </c>
      <c r="X47" s="41">
        <v>3</v>
      </c>
      <c r="Y47" s="39" t="s">
        <v>17</v>
      </c>
      <c r="Z47" s="373">
        <f t="shared" si="11"/>
        <v>8</v>
      </c>
    </row>
    <row r="48" spans="1:26" ht="15.95" customHeight="1">
      <c r="A48" s="99">
        <f>DATE(F5,F80,F86)</f>
        <v>45767</v>
      </c>
      <c r="B48" s="93"/>
      <c r="C48" s="100" t="s">
        <v>196</v>
      </c>
      <c r="D48" s="101"/>
      <c r="E48" s="102"/>
      <c r="F48" s="64"/>
      <c r="G48" s="347" t="s">
        <v>176</v>
      </c>
      <c r="I48" s="38">
        <v>4</v>
      </c>
      <c r="J48" s="39" t="s">
        <v>19</v>
      </c>
      <c r="K48" s="373">
        <f t="shared" si="6"/>
        <v>8</v>
      </c>
      <c r="L48" s="41">
        <v>4</v>
      </c>
      <c r="M48" s="39" t="s">
        <v>19</v>
      </c>
      <c r="N48" s="373">
        <f t="shared" si="7"/>
        <v>8</v>
      </c>
      <c r="O48" s="41">
        <v>4</v>
      </c>
      <c r="P48" s="39" t="s">
        <v>19</v>
      </c>
      <c r="Q48" s="373">
        <f t="shared" si="8"/>
        <v>8</v>
      </c>
      <c r="R48" s="41">
        <v>4</v>
      </c>
      <c r="S48" s="39" t="s">
        <v>19</v>
      </c>
      <c r="T48" s="373">
        <f t="shared" si="9"/>
        <v>8</v>
      </c>
      <c r="U48" s="41">
        <v>4</v>
      </c>
      <c r="V48" s="39" t="s">
        <v>19</v>
      </c>
      <c r="W48" s="373">
        <f t="shared" si="10"/>
        <v>8</v>
      </c>
      <c r="X48" s="41">
        <v>4</v>
      </c>
      <c r="Y48" s="39" t="s">
        <v>19</v>
      </c>
      <c r="Z48" s="373">
        <f t="shared" si="11"/>
        <v>8</v>
      </c>
    </row>
    <row r="49" spans="1:26" ht="15.95" customHeight="1" thickBot="1">
      <c r="A49" s="91">
        <f>A48+1</f>
        <v>45768</v>
      </c>
      <c r="B49" s="75"/>
      <c r="C49" s="103" t="s">
        <v>62</v>
      </c>
      <c r="D49" s="98"/>
      <c r="F49" s="64"/>
      <c r="G49" s="347" t="s">
        <v>66</v>
      </c>
      <c r="I49" s="38">
        <v>5</v>
      </c>
      <c r="J49" s="39" t="s">
        <v>21</v>
      </c>
      <c r="K49" s="373">
        <f t="shared" si="6"/>
        <v>8</v>
      </c>
      <c r="L49" s="41">
        <v>5</v>
      </c>
      <c r="M49" s="39" t="s">
        <v>21</v>
      </c>
      <c r="N49" s="373">
        <f t="shared" si="7"/>
        <v>8</v>
      </c>
      <c r="O49" s="41">
        <v>5</v>
      </c>
      <c r="P49" s="39" t="s">
        <v>21</v>
      </c>
      <c r="Q49" s="373">
        <f t="shared" si="8"/>
        <v>8</v>
      </c>
      <c r="R49" s="41">
        <v>5</v>
      </c>
      <c r="S49" s="39" t="s">
        <v>21</v>
      </c>
      <c r="T49" s="373">
        <f t="shared" si="9"/>
        <v>8</v>
      </c>
      <c r="U49" s="41">
        <v>5</v>
      </c>
      <c r="V49" s="39" t="s">
        <v>21</v>
      </c>
      <c r="W49" s="373">
        <f t="shared" si="10"/>
        <v>8</v>
      </c>
      <c r="X49" s="41">
        <v>5</v>
      </c>
      <c r="Y49" s="39" t="s">
        <v>21</v>
      </c>
      <c r="Z49" s="373">
        <f t="shared" si="11"/>
        <v>8</v>
      </c>
    </row>
    <row r="50" spans="1:26" ht="15.95" customHeight="1" thickBot="1">
      <c r="A50" s="95" t="str">
        <f>IF(D50=1,A49+1,"nicht frei")</f>
        <v>nicht frei</v>
      </c>
      <c r="B50" s="96"/>
      <c r="C50" s="104" t="s">
        <v>176</v>
      </c>
      <c r="D50" s="76"/>
      <c r="F50" s="64"/>
      <c r="G50" s="347" t="s">
        <v>185</v>
      </c>
      <c r="I50" s="38">
        <v>6</v>
      </c>
      <c r="J50" s="39" t="s">
        <v>23</v>
      </c>
      <c r="K50" s="373">
        <f t="shared" si="6"/>
        <v>8</v>
      </c>
      <c r="L50" s="41">
        <v>6</v>
      </c>
      <c r="M50" s="39" t="s">
        <v>23</v>
      </c>
      <c r="N50" s="373">
        <f t="shared" si="7"/>
        <v>8</v>
      </c>
      <c r="O50" s="41">
        <v>6</v>
      </c>
      <c r="P50" s="39" t="s">
        <v>23</v>
      </c>
      <c r="Q50" s="373">
        <f t="shared" si="8"/>
        <v>8</v>
      </c>
      <c r="R50" s="41">
        <v>6</v>
      </c>
      <c r="S50" s="39" t="s">
        <v>23</v>
      </c>
      <c r="T50" s="373">
        <f t="shared" si="9"/>
        <v>8</v>
      </c>
      <c r="U50" s="41">
        <v>6</v>
      </c>
      <c r="V50" s="39" t="s">
        <v>23</v>
      </c>
      <c r="W50" s="373">
        <f t="shared" si="10"/>
        <v>8</v>
      </c>
      <c r="X50" s="41">
        <v>6</v>
      </c>
      <c r="Y50" s="39" t="s">
        <v>23</v>
      </c>
      <c r="Z50" s="373">
        <f t="shared" si="11"/>
        <v>8</v>
      </c>
    </row>
    <row r="51" spans="1:26" ht="15.95" customHeight="1">
      <c r="A51" s="91">
        <f>DATE(F$5,5,1)</f>
        <v>45778</v>
      </c>
      <c r="B51" s="75"/>
      <c r="C51" s="90" t="s">
        <v>63</v>
      </c>
      <c r="D51" s="98"/>
      <c r="F51" s="64"/>
      <c r="G51" s="350" t="s">
        <v>184</v>
      </c>
      <c r="I51" s="38">
        <v>7</v>
      </c>
      <c r="J51" s="39" t="s">
        <v>25</v>
      </c>
      <c r="K51" s="374">
        <f t="shared" si="6"/>
        <v>0</v>
      </c>
      <c r="L51" s="41">
        <v>7</v>
      </c>
      <c r="M51" s="39" t="s">
        <v>25</v>
      </c>
      <c r="N51" s="374">
        <f t="shared" si="7"/>
        <v>0</v>
      </c>
      <c r="O51" s="41">
        <v>7</v>
      </c>
      <c r="P51" s="39" t="s">
        <v>25</v>
      </c>
      <c r="Q51" s="374">
        <f t="shared" si="8"/>
        <v>0</v>
      </c>
      <c r="R51" s="41">
        <v>7</v>
      </c>
      <c r="S51" s="39" t="s">
        <v>25</v>
      </c>
      <c r="T51" s="374">
        <f t="shared" si="9"/>
        <v>0</v>
      </c>
      <c r="U51" s="41">
        <v>7</v>
      </c>
      <c r="V51" s="39" t="s">
        <v>25</v>
      </c>
      <c r="W51" s="374">
        <f t="shared" si="10"/>
        <v>0</v>
      </c>
      <c r="X51" s="41">
        <v>7</v>
      </c>
      <c r="Y51" s="39" t="s">
        <v>25</v>
      </c>
      <c r="Z51" s="374">
        <f t="shared" si="11"/>
        <v>0</v>
      </c>
    </row>
    <row r="52" spans="1:26" ht="15.95" customHeight="1">
      <c r="A52" s="91">
        <f>A48+39</f>
        <v>45806</v>
      </c>
      <c r="B52" s="75"/>
      <c r="C52" s="105" t="s">
        <v>64</v>
      </c>
      <c r="D52" s="98"/>
      <c r="F52" s="64"/>
      <c r="G52" s="350" t="s">
        <v>183</v>
      </c>
      <c r="I52" s="38">
        <v>1</v>
      </c>
      <c r="J52" s="50" t="s">
        <v>192</v>
      </c>
      <c r="K52" s="374">
        <f t="shared" si="6"/>
        <v>0</v>
      </c>
      <c r="L52" s="41">
        <v>1</v>
      </c>
      <c r="M52" s="50" t="s">
        <v>192</v>
      </c>
      <c r="N52" s="374">
        <f t="shared" si="7"/>
        <v>0</v>
      </c>
      <c r="O52" s="41">
        <v>1</v>
      </c>
      <c r="P52" s="50" t="s">
        <v>192</v>
      </c>
      <c r="Q52" s="374">
        <f t="shared" si="8"/>
        <v>0</v>
      </c>
      <c r="R52" s="41">
        <v>1</v>
      </c>
      <c r="S52" s="50" t="s">
        <v>192</v>
      </c>
      <c r="T52" s="374">
        <f t="shared" si="9"/>
        <v>0</v>
      </c>
      <c r="U52" s="41">
        <v>1</v>
      </c>
      <c r="V52" s="50" t="s">
        <v>192</v>
      </c>
      <c r="W52" s="374">
        <f t="shared" si="10"/>
        <v>0</v>
      </c>
      <c r="X52" s="41">
        <v>1</v>
      </c>
      <c r="Y52" s="50" t="s">
        <v>192</v>
      </c>
      <c r="Z52" s="374">
        <f t="shared" si="11"/>
        <v>0</v>
      </c>
    </row>
    <row r="53" spans="1:26" ht="15.95" customHeight="1">
      <c r="A53" s="91">
        <f>A48+49</f>
        <v>45816</v>
      </c>
      <c r="B53" s="75"/>
      <c r="C53" s="90" t="s">
        <v>174</v>
      </c>
      <c r="D53" s="98"/>
      <c r="F53" s="64"/>
      <c r="I53" s="75"/>
      <c r="J53" s="55" t="s">
        <v>28</v>
      </c>
      <c r="K53" s="56">
        <f>SUM(K46:K52)</f>
        <v>40</v>
      </c>
      <c r="L53" s="49"/>
      <c r="M53" s="55" t="s">
        <v>28</v>
      </c>
      <c r="N53" s="56">
        <f>SUM(N46:N52)</f>
        <v>40</v>
      </c>
      <c r="O53" s="49"/>
      <c r="P53" s="55" t="s">
        <v>28</v>
      </c>
      <c r="Q53" s="56">
        <f>SUM(Q46:Q52)</f>
        <v>40</v>
      </c>
      <c r="R53" s="49"/>
      <c r="S53" s="55" t="s">
        <v>28</v>
      </c>
      <c r="T53" s="56">
        <f>SUM(T46:T52)</f>
        <v>40</v>
      </c>
      <c r="U53" s="49"/>
      <c r="V53" s="55" t="s">
        <v>28</v>
      </c>
      <c r="W53" s="56">
        <f>SUM(W46:W52)</f>
        <v>40</v>
      </c>
      <c r="X53" s="49"/>
      <c r="Y53" s="55" t="s">
        <v>28</v>
      </c>
      <c r="Z53" s="56">
        <f>SUM(Z46:Z52)</f>
        <v>40</v>
      </c>
    </row>
    <row r="54" spans="1:26" ht="15.95" customHeight="1" thickBot="1">
      <c r="A54" s="91">
        <f>A48+50</f>
        <v>45817</v>
      </c>
      <c r="B54" s="75"/>
      <c r="C54" s="90" t="s">
        <v>65</v>
      </c>
      <c r="D54" s="98"/>
      <c r="F54" s="64"/>
      <c r="J54" s="58" t="s">
        <v>31</v>
      </c>
      <c r="K54" s="61">
        <v>0</v>
      </c>
      <c r="L54" s="64"/>
      <c r="M54" s="58" t="s">
        <v>31</v>
      </c>
      <c r="N54" s="61">
        <v>0</v>
      </c>
      <c r="O54" s="64"/>
      <c r="P54" s="58" t="s">
        <v>31</v>
      </c>
      <c r="Q54" s="61">
        <v>0</v>
      </c>
      <c r="R54" s="64"/>
      <c r="S54" s="58" t="s">
        <v>31</v>
      </c>
      <c r="T54" s="61">
        <v>0</v>
      </c>
      <c r="U54" s="64"/>
      <c r="V54" s="58" t="s">
        <v>31</v>
      </c>
      <c r="W54" s="61">
        <v>0</v>
      </c>
      <c r="X54" s="64"/>
      <c r="Y54" s="58" t="s">
        <v>31</v>
      </c>
      <c r="Z54" s="61">
        <v>0</v>
      </c>
    </row>
    <row r="55" spans="1:26" ht="15.95" customHeight="1" thickBot="1">
      <c r="A55" s="95" t="str">
        <f>IF(D55=1,A54+1,"nicht frei")</f>
        <v>nicht frei</v>
      </c>
      <c r="B55" s="96"/>
      <c r="C55" s="97" t="s">
        <v>66</v>
      </c>
      <c r="D55" s="76"/>
      <c r="F55" s="64"/>
      <c r="G55" s="348" t="s">
        <v>177</v>
      </c>
      <c r="J55" s="58" t="s">
        <v>34</v>
      </c>
      <c r="K55" s="63">
        <f>Z42</f>
        <v>4</v>
      </c>
      <c r="M55" s="58" t="s">
        <v>34</v>
      </c>
      <c r="N55" s="63">
        <f>K55</f>
        <v>4</v>
      </c>
      <c r="P55" s="58" t="s">
        <v>34</v>
      </c>
      <c r="Q55" s="63">
        <f>N55</f>
        <v>4</v>
      </c>
      <c r="S55" s="58" t="s">
        <v>34</v>
      </c>
      <c r="T55" s="63">
        <f>Q55</f>
        <v>4</v>
      </c>
      <c r="V55" s="58" t="s">
        <v>34</v>
      </c>
      <c r="W55" s="63">
        <f>T55</f>
        <v>4</v>
      </c>
      <c r="Y55" s="58" t="s">
        <v>34</v>
      </c>
      <c r="Z55" s="63">
        <f>W55</f>
        <v>4</v>
      </c>
    </row>
    <row r="56" spans="1:26" ht="15.95" customHeight="1">
      <c r="A56" s="91">
        <f>A48+60</f>
        <v>45827</v>
      </c>
      <c r="B56" s="75"/>
      <c r="C56" s="90" t="s">
        <v>67</v>
      </c>
      <c r="D56" s="98"/>
      <c r="F56" s="64"/>
      <c r="G56" s="347" t="s">
        <v>61</v>
      </c>
      <c r="I56" s="75"/>
      <c r="L56" s="75"/>
      <c r="O56" s="75"/>
      <c r="R56" s="75"/>
      <c r="U56" s="75"/>
      <c r="X56" s="75"/>
    </row>
    <row r="57" spans="1:26" ht="15.95" customHeight="1">
      <c r="A57" s="91">
        <f>DATE(F$5,8,15)</f>
        <v>45884</v>
      </c>
      <c r="B57" s="75"/>
      <c r="C57" s="90" t="s">
        <v>68</v>
      </c>
      <c r="D57" s="98"/>
      <c r="F57" s="64"/>
      <c r="G57" s="347" t="s">
        <v>179</v>
      </c>
      <c r="I57" s="75"/>
      <c r="L57" s="75"/>
      <c r="O57" s="75"/>
      <c r="R57" s="75"/>
      <c r="U57" s="75"/>
      <c r="X57" s="75"/>
    </row>
    <row r="58" spans="1:26" ht="15.95" customHeight="1">
      <c r="A58" s="91">
        <f>DATE(F$5,10,26)</f>
        <v>45956</v>
      </c>
      <c r="B58" s="75"/>
      <c r="C58" s="90" t="s">
        <v>69</v>
      </c>
      <c r="D58" s="98"/>
      <c r="F58" s="64"/>
      <c r="G58" s="347" t="s">
        <v>180</v>
      </c>
      <c r="I58" s="75"/>
      <c r="L58" s="75"/>
      <c r="O58" s="75"/>
      <c r="R58" s="75"/>
      <c r="U58" s="75"/>
      <c r="X58" s="75"/>
    </row>
    <row r="59" spans="1:26" ht="15.95" customHeight="1" thickBot="1">
      <c r="A59" s="91">
        <f>DATE(F$5,11,1)</f>
        <v>45962</v>
      </c>
      <c r="B59" s="75"/>
      <c r="C59" s="90" t="s">
        <v>70</v>
      </c>
      <c r="D59" s="98"/>
      <c r="F59" s="64"/>
      <c r="G59" s="347" t="s">
        <v>181</v>
      </c>
      <c r="I59" s="75"/>
      <c r="L59" s="75"/>
      <c r="O59" s="75"/>
      <c r="R59" s="75"/>
      <c r="U59" s="75"/>
      <c r="X59" s="75"/>
    </row>
    <row r="60" spans="1:26" ht="15.95" customHeight="1" thickBot="1">
      <c r="A60" s="95" t="str">
        <f>IF(D60=1,A59+1,"nicht frei")</f>
        <v>nicht frei</v>
      </c>
      <c r="B60" s="96"/>
      <c r="C60" s="97" t="s">
        <v>71</v>
      </c>
      <c r="D60" s="76"/>
      <c r="F60" s="64"/>
      <c r="G60" s="347"/>
      <c r="I60" s="75"/>
      <c r="L60" s="75"/>
      <c r="O60" s="75"/>
      <c r="R60" s="75"/>
      <c r="U60" s="75"/>
      <c r="X60" s="75"/>
    </row>
    <row r="61" spans="1:26" ht="15.95" customHeight="1">
      <c r="A61" s="91">
        <f>DATE(F$5,12,8)</f>
        <v>45999</v>
      </c>
      <c r="B61" s="75"/>
      <c r="C61" s="90" t="s">
        <v>72</v>
      </c>
      <c r="D61" s="98"/>
      <c r="F61" s="64"/>
      <c r="G61" s="347"/>
      <c r="I61" s="81"/>
      <c r="L61" s="2"/>
      <c r="O61" s="2"/>
      <c r="R61" s="2"/>
      <c r="U61" s="2"/>
      <c r="X61" s="2"/>
    </row>
    <row r="62" spans="1:26">
      <c r="A62" s="95" t="str">
        <f>IF(D62=1,A61+16,"nicht frei")</f>
        <v>nicht frei</v>
      </c>
      <c r="B62" s="96"/>
      <c r="C62" s="97" t="s">
        <v>73</v>
      </c>
      <c r="D62" s="76"/>
      <c r="F62" s="64"/>
      <c r="G62" s="347"/>
    </row>
    <row r="63" spans="1:26">
      <c r="A63" s="91">
        <f>DATE(F$5,12,25)</f>
        <v>46016</v>
      </c>
      <c r="B63" s="75"/>
      <c r="C63" s="90" t="s">
        <v>74</v>
      </c>
      <c r="D63" s="98"/>
      <c r="F63" s="64"/>
      <c r="G63" s="347"/>
    </row>
    <row r="64" spans="1:26">
      <c r="A64" s="91">
        <f>DATE(F$5,12,26)</f>
        <v>46017</v>
      </c>
      <c r="B64" s="75"/>
      <c r="C64" s="90" t="s">
        <v>75</v>
      </c>
      <c r="D64" s="98"/>
      <c r="F64" s="64"/>
      <c r="G64" s="347"/>
    </row>
    <row r="65" spans="1:8">
      <c r="A65" s="95" t="str">
        <f>IF(D65=1,A61+23,"nicht frei")</f>
        <v>nicht frei</v>
      </c>
      <c r="B65" s="106"/>
      <c r="C65" s="97" t="s">
        <v>76</v>
      </c>
      <c r="D65" s="76"/>
      <c r="F65" s="64"/>
      <c r="G65" s="347"/>
    </row>
    <row r="66" spans="1:8">
      <c r="F66" s="2"/>
      <c r="G66" s="2"/>
    </row>
    <row r="71" spans="1:8" ht="13.5">
      <c r="A71" s="356"/>
      <c r="B71" s="357"/>
      <c r="C71" s="358"/>
      <c r="F71" s="359">
        <f>MOD($F$5,19)</f>
        <v>11</v>
      </c>
      <c r="G71" s="360" t="s">
        <v>12</v>
      </c>
      <c r="H71" s="361"/>
    </row>
    <row r="72" spans="1:8" ht="13.5">
      <c r="A72" s="356"/>
      <c r="B72" s="357"/>
      <c r="C72" s="358"/>
      <c r="F72" s="359">
        <f>MOD($F$5,4)</f>
        <v>1</v>
      </c>
      <c r="G72" s="360" t="s">
        <v>15</v>
      </c>
      <c r="H72" s="361"/>
    </row>
    <row r="73" spans="1:8" ht="13.5">
      <c r="A73" s="356"/>
      <c r="B73" s="362"/>
      <c r="C73" s="358"/>
      <c r="F73" s="359">
        <f>MOD($F$5,7)</f>
        <v>2</v>
      </c>
      <c r="G73" s="360" t="s">
        <v>18</v>
      </c>
      <c r="H73" s="361"/>
    </row>
    <row r="74" spans="1:8" ht="13.5">
      <c r="A74" s="356"/>
      <c r="B74" s="362"/>
      <c r="C74" s="358"/>
      <c r="F74" s="363">
        <f>MOD(19*F71+24,30)</f>
        <v>23</v>
      </c>
      <c r="G74" s="360" t="s">
        <v>20</v>
      </c>
      <c r="H74" s="361"/>
    </row>
    <row r="75" spans="1:8" ht="13.5">
      <c r="A75" s="364"/>
      <c r="B75" s="365"/>
      <c r="C75" s="366"/>
      <c r="D75" s="367"/>
      <c r="E75" s="368"/>
      <c r="F75" s="363">
        <f>MOD(2*F72+4*F73+6*F74+5,7)</f>
        <v>6</v>
      </c>
      <c r="G75" s="360" t="s">
        <v>22</v>
      </c>
      <c r="H75" s="361"/>
    </row>
    <row r="76" spans="1:8" ht="13.5">
      <c r="A76" s="356"/>
      <c r="B76" s="357"/>
      <c r="C76" s="369"/>
      <c r="F76" s="363">
        <f>22+F74+F75</f>
        <v>51</v>
      </c>
      <c r="G76" s="360" t="s">
        <v>24</v>
      </c>
      <c r="H76" s="361"/>
    </row>
    <row r="77" spans="1:8" ht="13.5">
      <c r="A77" s="356"/>
      <c r="B77" s="357"/>
      <c r="C77" s="358"/>
      <c r="F77" s="363">
        <v>3</v>
      </c>
      <c r="G77" s="360" t="s">
        <v>193</v>
      </c>
      <c r="H77" s="361"/>
    </row>
    <row r="78" spans="1:8" ht="13.5">
      <c r="A78" s="356"/>
      <c r="B78" s="357"/>
      <c r="C78" s="370"/>
      <c r="F78" s="363"/>
      <c r="G78" s="360" t="s">
        <v>26</v>
      </c>
      <c r="H78" s="361"/>
    </row>
    <row r="79" spans="1:8" ht="13.5">
      <c r="A79" s="356"/>
      <c r="B79" s="357"/>
      <c r="C79" s="358"/>
      <c r="F79" s="363">
        <f>IF($F76&gt;31,($F74+$F75-9),$F76)</f>
        <v>20</v>
      </c>
      <c r="G79" s="360" t="s">
        <v>29</v>
      </c>
      <c r="H79" s="361"/>
    </row>
    <row r="80" spans="1:8" ht="13.5">
      <c r="A80" s="356"/>
      <c r="B80" s="357"/>
      <c r="C80" s="358"/>
      <c r="F80" s="363">
        <f>IF(F76&gt;31,4,F77)</f>
        <v>4</v>
      </c>
      <c r="G80" s="360" t="s">
        <v>32</v>
      </c>
      <c r="H80" s="361"/>
    </row>
    <row r="81" spans="1:8" ht="13.5">
      <c r="A81" s="356"/>
      <c r="B81" s="357"/>
      <c r="C81" s="358"/>
      <c r="F81" s="363"/>
      <c r="G81" s="360" t="s">
        <v>35</v>
      </c>
      <c r="H81" s="361"/>
    </row>
    <row r="82" spans="1:8" ht="13.5">
      <c r="A82" s="356"/>
      <c r="B82" s="357"/>
      <c r="C82" s="358"/>
      <c r="F82" s="363"/>
      <c r="G82" s="360" t="s">
        <v>37</v>
      </c>
      <c r="H82" s="361"/>
    </row>
    <row r="83" spans="1:8" ht="13.5">
      <c r="A83" s="356"/>
      <c r="B83" s="357"/>
      <c r="C83" s="358"/>
      <c r="F83" s="363">
        <f>IF(AND(F79=26,F80=4),19,F79)</f>
        <v>20</v>
      </c>
      <c r="G83" s="360" t="s">
        <v>39</v>
      </c>
      <c r="H83" s="361"/>
    </row>
    <row r="84" spans="1:8" ht="13.5">
      <c r="A84" s="356"/>
      <c r="B84" s="357"/>
      <c r="C84" s="358"/>
      <c r="F84" s="363"/>
      <c r="G84" s="360" t="s">
        <v>35</v>
      </c>
      <c r="H84" s="361"/>
    </row>
    <row r="85" spans="1:8" ht="13.5">
      <c r="A85" s="356"/>
      <c r="B85" s="357"/>
      <c r="C85" s="358"/>
      <c r="F85" s="363"/>
      <c r="G85" s="360" t="s">
        <v>46</v>
      </c>
      <c r="H85" s="361"/>
    </row>
    <row r="86" spans="1:8" ht="13.5">
      <c r="A86" s="356"/>
      <c r="B86" s="357"/>
      <c r="C86" s="358"/>
      <c r="F86" s="363">
        <f>IF(AND(F83=25,F80=4,F74=28,F75=6,F71&gt;10),18,F83)</f>
        <v>20</v>
      </c>
      <c r="G86" s="360" t="s">
        <v>48</v>
      </c>
      <c r="H86" s="361"/>
    </row>
    <row r="87" spans="1:8" ht="13.5">
      <c r="A87" s="356"/>
      <c r="B87" s="357"/>
      <c r="C87" s="358"/>
      <c r="F87" s="363"/>
      <c r="G87" s="360" t="s">
        <v>35</v>
      </c>
      <c r="H87" s="361"/>
    </row>
    <row r="88" spans="1:8">
      <c r="A88" s="356"/>
      <c r="B88" s="357"/>
      <c r="C88" s="358"/>
      <c r="F88" s="363"/>
      <c r="G88" s="363" t="s">
        <v>51</v>
      </c>
      <c r="H88" s="361"/>
    </row>
    <row r="89" spans="1:8">
      <c r="A89" s="356"/>
      <c r="B89" s="357"/>
      <c r="C89" s="358"/>
      <c r="F89" s="363"/>
      <c r="G89" s="363" t="s">
        <v>194</v>
      </c>
      <c r="H89" s="361"/>
    </row>
    <row r="90" spans="1:8">
      <c r="A90" s="356"/>
      <c r="B90" s="371"/>
      <c r="C90" s="358"/>
      <c r="F90" s="363"/>
      <c r="G90" s="363" t="s">
        <v>195</v>
      </c>
      <c r="H90" s="361"/>
    </row>
    <row r="91" spans="1:8">
      <c r="A91" s="45"/>
      <c r="B91" s="45"/>
    </row>
    <row r="92" spans="1:8">
      <c r="A92" s="45"/>
      <c r="B92" s="45"/>
    </row>
    <row r="93" spans="1:8">
      <c r="A93" s="45"/>
      <c r="B93" s="45"/>
    </row>
  </sheetData>
  <sheetProtection selectLockedCells="1"/>
  <mergeCells count="5">
    <mergeCell ref="A13:C13"/>
    <mergeCell ref="A7:C7"/>
    <mergeCell ref="D7:H7"/>
    <mergeCell ref="D8:H8"/>
    <mergeCell ref="A9:C9"/>
  </mergeCells>
  <phoneticPr fontId="2" type="noConversion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ignoredErrors>
    <ignoredError sqref="N33:N39 Q33:Q39 T33:T39 W33:W39 Z33:Z39 K46:K52 N46:N52 Q46:Q52 T46:T52 W46:W52 Z46:Z52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1" sqref="W11:Y11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4" width="5.285156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DATE(Datenblatt!F5,8,1)</f>
        <v>45870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"&amp;Datenblatt!$N$46&amp;";"&amp;"    Di: "&amp;Datenblatt!$N$47&amp;";"&amp;"    Mi: "&amp;Datenblatt!$N$48&amp;";"&amp;"    Do: "&amp;Datenblatt!$N$49&amp;";"&amp;"    Fr: "&amp;Datenblatt!$N$50&amp;";"&amp;"    Sa: "&amp;Datenblatt!$N$51&amp;";"&amp;"    So: "&amp;Datenblatt!$N$52&amp;""&amp;"     -    Wochenarbeitszeit:  "&amp;Datenblatt!$N$53&amp;"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Juli!U5+Datenblatt!N54</f>
        <v>190</v>
      </c>
      <c r="V4" s="413"/>
      <c r="W4" s="141"/>
      <c r="X4" s="142" t="str">
        <f>"Urlaubsanspruch per 01.08."&amp;Datenblatt!$F$5</f>
        <v>Urlaubsanspruch per 01.08.2025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31.08."&amp;Datenblatt!$F$5</f>
        <v>Resturlaub per 31.08.2025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45870</v>
      </c>
      <c r="C9" s="157">
        <f t="shared" ref="C9:C39" si="0">B9</f>
        <v>45870</v>
      </c>
      <c r="D9" s="158">
        <f>IF(VLOOKUP($B9,Datenblatt!$A$43:$A$65,1,1)=$B9,0,VLOOKUP(WEEKDAY($B9),Datenblatt!$L$46:$N$52,3,FALSE))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45871</v>
      </c>
      <c r="C10" s="157">
        <f t="shared" si="0"/>
        <v>45871</v>
      </c>
      <c r="D10" s="158">
        <f>IF(VLOOKUP($B10,Datenblatt!$A$43:$A$65,1,1)=$B10,0,VLOOKUP(WEEKDAY($B10),Datenblatt!$L$46:$N$52,3,FALSE))</f>
        <v>0</v>
      </c>
      <c r="E10" s="158">
        <f>IF(VLOOKUP($B10,Datenblatt!$A$43:$A$65,1,1)=$B10,0,IF(WEEKDAY($B10)=7,1,IF(WEEKDAY($B10)=1,0,2)))</f>
        <v>1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45872</v>
      </c>
      <c r="C11" s="157">
        <f t="shared" si="0"/>
        <v>45872</v>
      </c>
      <c r="D11" s="158">
        <f>IF(VLOOKUP($B11,Datenblatt!$A$43:$A$65,1,1)=$B11,0,VLOOKUP(WEEKDAY($B11),Datenblatt!$L$46:$N$52,3,FALSE))</f>
        <v>0</v>
      </c>
      <c r="E11" s="158">
        <f>IF(VLOOKUP($B11,Datenblatt!$A$43:$A$65,1,1)=$B11,0,IF(WEEKDAY($B11)=7,1,IF(WEEKDAY($B11)=1,0,2)))</f>
        <v>0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45873</v>
      </c>
      <c r="C12" s="157">
        <f t="shared" si="0"/>
        <v>45873</v>
      </c>
      <c r="D12" s="158">
        <f>IF(VLOOKUP($B12,Datenblatt!$A$43:$A$65,1,1)=$B12,0,VLOOKUP(WEEKDAY($B12),Datenblatt!$L$46:$N$52,3,FALSE))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45874</v>
      </c>
      <c r="C13" s="157">
        <f t="shared" si="0"/>
        <v>45874</v>
      </c>
      <c r="D13" s="158">
        <f>IF(VLOOKUP($B13,Datenblatt!$A$43:$A$65,1,1)=$B13,0,VLOOKUP(WEEKDAY($B13),Datenblatt!$L$46:$N$52,3,FALSE))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45875</v>
      </c>
      <c r="C14" s="157">
        <f t="shared" si="0"/>
        <v>45875</v>
      </c>
      <c r="D14" s="158">
        <f>IF(VLOOKUP($B14,Datenblatt!$A$43:$A$65,1,1)=$B14,0,VLOOKUP(WEEKDAY($B14),Datenblatt!$L$46:$N$52,3,FALSE))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45876</v>
      </c>
      <c r="C15" s="157">
        <f t="shared" si="0"/>
        <v>45876</v>
      </c>
      <c r="D15" s="158">
        <f>IF(VLOOKUP($B15,Datenblatt!$A$43:$A$65,1,1)=$B15,0,VLOOKUP(WEEKDAY($B15),Datenblatt!$L$46:$N$52,3,FALSE))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45877</v>
      </c>
      <c r="C16" s="157">
        <f t="shared" si="0"/>
        <v>45877</v>
      </c>
      <c r="D16" s="158">
        <f>IF(VLOOKUP($B16,Datenblatt!$A$43:$A$65,1,1)=$B16,0,VLOOKUP(WEEKDAY($B16),Datenblatt!$L$46:$N$52,3,FALSE))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45878</v>
      </c>
      <c r="C17" s="157">
        <f t="shared" si="0"/>
        <v>45878</v>
      </c>
      <c r="D17" s="158">
        <f>IF(VLOOKUP($B17,Datenblatt!$A$43:$A$65,1,1)=$B17,0,VLOOKUP(WEEKDAY($B17),Datenblatt!$L$46:$N$52,3,FALSE))</f>
        <v>0</v>
      </c>
      <c r="E17" s="158">
        <f>IF(VLOOKUP($B17,Datenblatt!$A$43:$A$65,1,1)=$B17,0,IF(WEEKDAY($B17)=7,1,IF(WEEKDAY($B17)=1,0,2)))</f>
        <v>1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45879</v>
      </c>
      <c r="C18" s="157">
        <f t="shared" si="0"/>
        <v>45879</v>
      </c>
      <c r="D18" s="158">
        <f>IF(VLOOKUP($B18,Datenblatt!$A$43:$A$65,1,1)=$B18,0,VLOOKUP(WEEKDAY($B18),Datenblatt!$L$46:$N$52,3,FALSE))</f>
        <v>0</v>
      </c>
      <c r="E18" s="158">
        <f>IF(VLOOKUP($B18,Datenblatt!$A$43:$A$65,1,1)=$B18,0,IF(WEEKDAY($B18)=7,1,IF(WEEKDAY($B18)=1,0,2)))</f>
        <v>0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45880</v>
      </c>
      <c r="C19" s="157">
        <f t="shared" si="0"/>
        <v>45880</v>
      </c>
      <c r="D19" s="158">
        <f>IF(VLOOKUP($B19,Datenblatt!$A$43:$A$65,1,1)=$B19,0,VLOOKUP(WEEKDAY($B19),Datenblatt!$L$46:$N$52,3,FALSE))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45881</v>
      </c>
      <c r="C20" s="157">
        <f t="shared" si="0"/>
        <v>45881</v>
      </c>
      <c r="D20" s="158">
        <f>IF(VLOOKUP($B20,Datenblatt!$A$43:$A$65,1,1)=$B20,0,VLOOKUP(WEEKDAY($B20),Datenblatt!$L$46:$N$52,3,FALSE))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45882</v>
      </c>
      <c r="C21" s="157">
        <f t="shared" si="0"/>
        <v>45882</v>
      </c>
      <c r="D21" s="158">
        <f>IF(VLOOKUP($B21,Datenblatt!$A$43:$A$65,1,1)=$B21,0,VLOOKUP(WEEKDAY($B21),Datenblatt!$L$46:$N$52,3,FALSE))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45883</v>
      </c>
      <c r="C22" s="157">
        <f t="shared" si="0"/>
        <v>45883</v>
      </c>
      <c r="D22" s="158">
        <f>IF(VLOOKUP($B22,Datenblatt!$A$43:$A$65,1,1)=$B22,0,VLOOKUP(WEEKDAY($B22),Datenblatt!$L$46:$N$52,3,FALSE))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45884</v>
      </c>
      <c r="C23" s="157">
        <f t="shared" si="0"/>
        <v>45884</v>
      </c>
      <c r="D23" s="158">
        <f>IF(VLOOKUP($B23,Datenblatt!$A$43:$A$65,1,1)=$B23,0,VLOOKUP(WEEKDAY($B23),Datenblatt!$L$46:$N$52,3,FALSE))</f>
        <v>0</v>
      </c>
      <c r="E23" s="158">
        <f>IF(VLOOKUP($B23,Datenblatt!$A$43:$A$65,1,1)=$B23,0,IF(WEEKDAY($B23)=7,1,IF(WEEKDAY($B23)=1,0,2)))</f>
        <v>0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>Maria Himmelfahrt</v>
      </c>
      <c r="X23" s="402"/>
      <c r="Y23" s="403"/>
      <c r="AB23" s="171"/>
    </row>
    <row r="24" spans="2:129" ht="12.2" customHeight="1">
      <c r="B24" s="156">
        <f t="shared" si="1"/>
        <v>45885</v>
      </c>
      <c r="C24" s="157">
        <f t="shared" si="0"/>
        <v>45885</v>
      </c>
      <c r="D24" s="158">
        <f>IF(VLOOKUP($B24,Datenblatt!$A$43:$A$65,1,1)=$B24,0,VLOOKUP(WEEKDAY($B24),Datenblatt!$L$46:$N$52,3,FALSE))</f>
        <v>0</v>
      </c>
      <c r="E24" s="158">
        <f>IF(VLOOKUP($B24,Datenblatt!$A$43:$A$65,1,1)=$B24,0,IF(WEEKDAY($B24)=7,1,IF(WEEKDAY($B24)=1,0,2)))</f>
        <v>1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45886</v>
      </c>
      <c r="C25" s="157">
        <f t="shared" si="0"/>
        <v>45886</v>
      </c>
      <c r="D25" s="158">
        <f>IF(VLOOKUP($B25,Datenblatt!$A$43:$A$65,1,1)=$B25,0,VLOOKUP(WEEKDAY($B25),Datenblatt!$L$46:$N$52,3,FALSE))</f>
        <v>0</v>
      </c>
      <c r="E25" s="158">
        <f>IF(VLOOKUP($B25,Datenblatt!$A$43:$A$65,1,1)=$B25,0,IF(WEEKDAY($B25)=7,1,IF(WEEKDAY($B25)=1,0,2)))</f>
        <v>0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45887</v>
      </c>
      <c r="C26" s="157">
        <f t="shared" si="0"/>
        <v>45887</v>
      </c>
      <c r="D26" s="158">
        <f>IF(VLOOKUP($B26,Datenblatt!$A$43:$A$65,1,1)=$B26,0,VLOOKUP(WEEKDAY($B26),Datenblatt!$L$46:$N$52,3,FALSE))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45888</v>
      </c>
      <c r="C27" s="157">
        <f t="shared" si="0"/>
        <v>45888</v>
      </c>
      <c r="D27" s="158">
        <f>IF(VLOOKUP($B27,Datenblatt!$A$43:$A$65,1,1)=$B27,0,VLOOKUP(WEEKDAY($B27),Datenblatt!$L$46:$N$52,3,FALSE))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45889</v>
      </c>
      <c r="C28" s="157">
        <f t="shared" si="0"/>
        <v>45889</v>
      </c>
      <c r="D28" s="158">
        <f>IF(VLOOKUP($B28,Datenblatt!$A$43:$A$65,1,1)=$B28,0,VLOOKUP(WEEKDAY($B28),Datenblatt!$L$46:$N$52,3,FALSE))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45890</v>
      </c>
      <c r="C29" s="157">
        <f t="shared" si="0"/>
        <v>45890</v>
      </c>
      <c r="D29" s="158">
        <f>IF(VLOOKUP($B29,Datenblatt!$A$43:$A$65,1,1)=$B29,0,VLOOKUP(WEEKDAY($B29),Datenblatt!$L$46:$N$52,3,FALSE))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45891</v>
      </c>
      <c r="C30" s="157">
        <f t="shared" si="0"/>
        <v>45891</v>
      </c>
      <c r="D30" s="158">
        <f>IF(VLOOKUP($B30,Datenblatt!$A$43:$A$65,1,1)=$B30,0,VLOOKUP(WEEKDAY($B30),Datenblatt!$L$46:$N$52,3,FALSE))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45892</v>
      </c>
      <c r="C31" s="157">
        <f t="shared" si="0"/>
        <v>45892</v>
      </c>
      <c r="D31" s="158">
        <f>IF(VLOOKUP($B31,Datenblatt!$A$43:$A$65,1,1)=$B31,0,VLOOKUP(WEEKDAY($B31),Datenblatt!$L$46:$N$52,3,FALSE))</f>
        <v>0</v>
      </c>
      <c r="E31" s="158">
        <f>IF(VLOOKUP($B31,Datenblatt!$A$43:$A$65,1,1)=$B31,0,IF(WEEKDAY($B31)=7,1,IF(WEEKDAY($B31)=1,0,2)))</f>
        <v>1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45893</v>
      </c>
      <c r="C32" s="157">
        <f t="shared" si="0"/>
        <v>45893</v>
      </c>
      <c r="D32" s="158">
        <f>IF(VLOOKUP($B32,Datenblatt!$A$43:$A$65,1,1)=$B32,0,VLOOKUP(WEEKDAY($B32),Datenblatt!$L$46:$N$52,3,FALSE))</f>
        <v>0</v>
      </c>
      <c r="E32" s="158">
        <f>IF(VLOOKUP($B32,Datenblatt!$A$43:$A$65,1,1)=$B32,0,IF(WEEKDAY($B32)=7,1,IF(WEEKDAY($B32)=1,0,2)))</f>
        <v>0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45894</v>
      </c>
      <c r="C33" s="157">
        <f t="shared" si="0"/>
        <v>45894</v>
      </c>
      <c r="D33" s="158">
        <f>IF(VLOOKUP($B33,Datenblatt!$A$43:$A$65,1,1)=$B33,0,VLOOKUP(WEEKDAY($B33),Datenblatt!$L$46:$N$52,3,FALSE))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45895</v>
      </c>
      <c r="C34" s="157">
        <f t="shared" si="0"/>
        <v>45895</v>
      </c>
      <c r="D34" s="158">
        <f>IF(VLOOKUP($B34,Datenblatt!$A$43:$A$65,1,1)=$B34,0,VLOOKUP(WEEKDAY($B34),Datenblatt!$L$46:$N$52,3,FALSE))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45896</v>
      </c>
      <c r="C35" s="157">
        <f t="shared" si="0"/>
        <v>45896</v>
      </c>
      <c r="D35" s="158">
        <f>IF(VLOOKUP($B35,Datenblatt!$A$43:$A$65,1,1)=$B35,0,VLOOKUP(WEEKDAY($B35),Datenblatt!$L$46:$N$52,3,FALSE))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45897</v>
      </c>
      <c r="C36" s="157">
        <f t="shared" si="0"/>
        <v>45897</v>
      </c>
      <c r="D36" s="158">
        <f>IF(VLOOKUP($B36,Datenblatt!$A$43:$A$65,1,1)=$B36,0,VLOOKUP(WEEKDAY($B36),Datenblatt!$L$46:$N$52,3,FALSE))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45898</v>
      </c>
      <c r="C37" s="157">
        <f t="shared" si="0"/>
        <v>45898</v>
      </c>
      <c r="D37" s="158">
        <f>IF(VLOOKUP($B37,Datenblatt!$A$43:$A$65,1,1)=$B37,0,VLOOKUP(WEEKDAY($B37),Datenblatt!$L$46:$N$52,3,FALSE))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45899</v>
      </c>
      <c r="C38" s="157">
        <f t="shared" si="0"/>
        <v>45899</v>
      </c>
      <c r="D38" s="158">
        <f>IF(VLOOKUP($B38,Datenblatt!$A$43:$A$65,1,1)=$B38,0,VLOOKUP(WEEKDAY($B38),Datenblatt!$L$46:$N$52,3,FALSE))</f>
        <v>0</v>
      </c>
      <c r="E38" s="158">
        <f>IF(VLOOKUP($B38,Datenblatt!$A$43:$A$65,1,1)=$B38,0,IF(WEEKDAY($B38)=7,1,IF(WEEKDAY($B38)=1,0,2)))</f>
        <v>1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45900</v>
      </c>
      <c r="C39" s="157">
        <f t="shared" si="0"/>
        <v>45900</v>
      </c>
      <c r="D39" s="158">
        <f>IF(VLOOKUP($B39,Datenblatt!$A$43:$A$65,1,1)=$B39,0,VLOOKUP(WEEKDAY($B39),Datenblatt!$L$46:$N$52,3,FALSE))</f>
        <v>0</v>
      </c>
      <c r="E39" s="158">
        <f>IF(VLOOKUP($B39,Datenblatt!$A$43:$A$65,1,1)=$B39,0,IF(WEEKDAY($B39)=7,1,IF(WEEKDAY($B39)=1,0,2)))</f>
        <v>0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August "&amp;Datenblatt!$F$5&amp;":"</f>
        <v>Sollstunden für August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August "&amp;Datenblatt!F5&amp;":   ","Zeitdefizit im Monat August "&amp;Datenblatt!F5&amp;":   ")</f>
        <v xml:space="preserve">Zeitdefizit im Monat August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Juli "&amp;Datenblatt!F5-1&amp;":   ","  - Zeitdefizit aus Juli "&amp;Datenblatt!F5&amp;":   ")</f>
        <v xml:space="preserve">  - Zeitdefizit aus Juli 2025:   </v>
      </c>
      <c r="T43" s="410">
        <f>Juli!T44</f>
        <v>-1160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September "&amp;Datenblatt!F5</f>
        <v>Übertrag für September 2025</v>
      </c>
      <c r="R44" s="196"/>
      <c r="S44" s="196"/>
      <c r="T44" s="411">
        <f>T43+T42-I42</f>
        <v>-1320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34" priority="1" stopIfTrue="1" operator="equal">
      <formula>MATCH($E15,0)</formula>
    </cfRule>
    <cfRule type="expression" dxfId="33" priority="2" stopIfTrue="1">
      <formula>"WOCHENTAG($B8)=1"</formula>
    </cfRule>
    <cfRule type="expression" dxfId="32" priority="3" stopIfTrue="1">
      <formula>"WOCHENTAG($B8)=7"</formula>
    </cfRule>
  </conditionalFormatting>
  <conditionalFormatting sqref="B9:C39">
    <cfRule type="expression" dxfId="31" priority="8" stopIfTrue="1">
      <formula>($E9=1)</formula>
    </cfRule>
  </conditionalFormatting>
  <conditionalFormatting sqref="B9:U39 W9:W39">
    <cfRule type="expression" dxfId="30" priority="4" stopIfTrue="1">
      <formula>($E9=0)</formula>
    </cfRule>
    <cfRule type="expression" dxfId="29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Y48"/>
  <sheetViews>
    <sheetView showGridLines="0" workbookViewId="0">
      <pane ySplit="8" topLeftCell="A9" activePane="bottomLeft" state="frozen"/>
      <selection activeCell="W11" sqref="W11:Y11"/>
      <selection pane="bottomLeft" activeCell="W10" sqref="W10:Y1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7109375" style="94" customWidth="1"/>
    <col min="4" max="4" width="5.57031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DATE(Datenblatt!F5,9,1)</f>
        <v>45901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"&amp;Datenblatt!$Q$46&amp;";"&amp;"    Di: "&amp;Datenblatt!$Q$47&amp;";"&amp;"    Mi: "&amp;Datenblatt!$Q$48&amp;";"&amp;"    Do: "&amp;Datenblatt!$Q$49&amp;";"&amp;"    Fr: "&amp;Datenblatt!$Q$50&amp;";"&amp;"    Sa: "&amp;Datenblatt!$Q$51&amp;";"&amp;"    So: "&amp;Datenblatt!$Q$52&amp;""&amp;"     -    Wochenarbeitszeit:  "&amp;Datenblatt!$Q$53&amp;"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Aug!U5+Datenblatt!Q54</f>
        <v>190</v>
      </c>
      <c r="V4" s="413"/>
      <c r="W4" s="141"/>
      <c r="X4" s="142" t="str">
        <f>"Urlaubsanspruch per 01.09."&amp;Datenblatt!$F$5</f>
        <v>Urlaubsanspruch per 01.09.2025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30.09."&amp;Datenblatt!$F$5</f>
        <v>Resturlaub per 30.09.2025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45901</v>
      </c>
      <c r="C9" s="157">
        <f t="shared" ref="C9:C38" si="0">B9</f>
        <v>45901</v>
      </c>
      <c r="D9" s="158">
        <f>IF(VLOOKUP($B9,Datenblatt!$A$43:$A$65,1,1)=$B9,0,VLOOKUP(WEEKDAY($B9),Datenblatt!$O$46:$Q$52,3,FALSE))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8" si="1">B9+1</f>
        <v>45902</v>
      </c>
      <c r="C10" s="157">
        <f t="shared" si="0"/>
        <v>45902</v>
      </c>
      <c r="D10" s="158">
        <f>IF(VLOOKUP($B10,Datenblatt!$A$43:$A$65,1,1)=$B10,0,VLOOKUP(WEEKDAY($B10),Datenblatt!$O$46:$Q$52,3,FALSE))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8" si="2">IF((F10+P10+Q10=0),"",(G10-F10)-(I10-H10)-(K10-J10)-(M10-L10)+P10+Q10)</f>
        <v/>
      </c>
      <c r="S10" s="351" t="str">
        <f t="shared" ref="S10:S38" si="3">IF((N10+O10=0),"",(N10*0.66))</f>
        <v/>
      </c>
      <c r="T10" s="168" t="str">
        <f t="shared" ref="T10:T38" si="4">IF(U10="","",U10-R10)</f>
        <v/>
      </c>
      <c r="U10" s="169" t="str">
        <f t="shared" ref="U10:U38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45903</v>
      </c>
      <c r="C11" s="157">
        <f t="shared" si="0"/>
        <v>45903</v>
      </c>
      <c r="D11" s="158">
        <f>IF(VLOOKUP($B11,Datenblatt!$A$43:$A$65,1,1)=$B11,0,VLOOKUP(WEEKDAY($B11),Datenblatt!$O$46:$Q$52,3,FALSE))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45904</v>
      </c>
      <c r="C12" s="157">
        <f t="shared" si="0"/>
        <v>45904</v>
      </c>
      <c r="D12" s="158">
        <f>IF(VLOOKUP($B12,Datenblatt!$A$43:$A$65,1,1)=$B12,0,VLOOKUP(WEEKDAY($B12),Datenblatt!$O$46:$Q$52,3,FALSE))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45905</v>
      </c>
      <c r="C13" s="157">
        <f t="shared" si="0"/>
        <v>45905</v>
      </c>
      <c r="D13" s="158">
        <f>IF(VLOOKUP($B13,Datenblatt!$A$43:$A$65,1,1)=$B13,0,VLOOKUP(WEEKDAY($B13),Datenblatt!$O$46:$Q$52,3,FALSE))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45906</v>
      </c>
      <c r="C14" s="157">
        <f t="shared" si="0"/>
        <v>45906</v>
      </c>
      <c r="D14" s="158">
        <f>IF(VLOOKUP($B14,Datenblatt!$A$43:$A$65,1,1)=$B14,0,VLOOKUP(WEEKDAY($B14),Datenblatt!$O$46:$Q$52,3,FALSE))</f>
        <v>0</v>
      </c>
      <c r="E14" s="158">
        <f>IF(VLOOKUP($B14,Datenblatt!$A$43:$A$65,1,1)=$B14,0,IF(WEEKDAY($B14)=7,1,IF(WEEKDAY($B14)=1,0,2)))</f>
        <v>1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45907</v>
      </c>
      <c r="C15" s="157">
        <f t="shared" si="0"/>
        <v>45907</v>
      </c>
      <c r="D15" s="158">
        <f>IF(VLOOKUP($B15,Datenblatt!$A$43:$A$65,1,1)=$B15,0,VLOOKUP(WEEKDAY($B15),Datenblatt!$O$46:$Q$52,3,FALSE))</f>
        <v>0</v>
      </c>
      <c r="E15" s="158">
        <f>IF(VLOOKUP($B15,Datenblatt!$A$43:$A$65,1,1)=$B15,0,IF(WEEKDAY($B15)=7,1,IF(WEEKDAY($B15)=1,0,2)))</f>
        <v>0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45908</v>
      </c>
      <c r="C16" s="157">
        <f t="shared" si="0"/>
        <v>45908</v>
      </c>
      <c r="D16" s="158">
        <f>IF(VLOOKUP($B16,Datenblatt!$A$43:$A$65,1,1)=$B16,0,VLOOKUP(WEEKDAY($B16),Datenblatt!$O$46:$Q$52,3,FALSE))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45909</v>
      </c>
      <c r="C17" s="157">
        <f t="shared" si="0"/>
        <v>45909</v>
      </c>
      <c r="D17" s="158">
        <f>IF(VLOOKUP($B17,Datenblatt!$A$43:$A$65,1,1)=$B17,0,VLOOKUP(WEEKDAY($B17),Datenblatt!$O$46:$Q$52,3,FALSE))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45910</v>
      </c>
      <c r="C18" s="157">
        <f t="shared" si="0"/>
        <v>45910</v>
      </c>
      <c r="D18" s="158">
        <f>IF(VLOOKUP($B18,Datenblatt!$A$43:$A$65,1,1)=$B18,0,VLOOKUP(WEEKDAY($B18),Datenblatt!$O$46:$Q$52,3,FALSE))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45911</v>
      </c>
      <c r="C19" s="157">
        <f t="shared" si="0"/>
        <v>45911</v>
      </c>
      <c r="D19" s="158">
        <f>IF(VLOOKUP($B19,Datenblatt!$A$43:$A$65,1,1)=$B19,0,VLOOKUP(WEEKDAY($B19),Datenblatt!$O$46:$Q$52,3,FALSE))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45912</v>
      </c>
      <c r="C20" s="157">
        <f t="shared" si="0"/>
        <v>45912</v>
      </c>
      <c r="D20" s="158">
        <f>IF(VLOOKUP($B20,Datenblatt!$A$43:$A$65,1,1)=$B20,0,VLOOKUP(WEEKDAY($B20),Datenblatt!$O$46:$Q$52,3,FALSE))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45913</v>
      </c>
      <c r="C21" s="157">
        <f t="shared" si="0"/>
        <v>45913</v>
      </c>
      <c r="D21" s="158">
        <f>IF(VLOOKUP($B21,Datenblatt!$A$43:$A$65,1,1)=$B21,0,VLOOKUP(WEEKDAY($B21),Datenblatt!$O$46:$Q$52,3,FALSE))</f>
        <v>0</v>
      </c>
      <c r="E21" s="158">
        <f>IF(VLOOKUP($B21,Datenblatt!$A$43:$A$65,1,1)=$B21,0,IF(WEEKDAY($B21)=7,1,IF(WEEKDAY($B21)=1,0,2)))</f>
        <v>1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45914</v>
      </c>
      <c r="C22" s="157">
        <f t="shared" si="0"/>
        <v>45914</v>
      </c>
      <c r="D22" s="158">
        <f>IF(VLOOKUP($B22,Datenblatt!$A$43:$A$65,1,1)=$B22,0,VLOOKUP(WEEKDAY($B22),Datenblatt!$O$46:$Q$52,3,FALSE))</f>
        <v>0</v>
      </c>
      <c r="E22" s="158">
        <f>IF(VLOOKUP($B22,Datenblatt!$A$43:$A$65,1,1)=$B22,0,IF(WEEKDAY($B22)=7,1,IF(WEEKDAY($B22)=1,0,2)))</f>
        <v>0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45915</v>
      </c>
      <c r="C23" s="157">
        <f t="shared" si="0"/>
        <v>45915</v>
      </c>
      <c r="D23" s="158">
        <f>IF(VLOOKUP($B23,Datenblatt!$A$43:$A$65,1,1)=$B23,0,VLOOKUP(WEEKDAY($B23),Datenblatt!$O$46:$Q$52,3,FALSE))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45916</v>
      </c>
      <c r="C24" s="157">
        <f t="shared" si="0"/>
        <v>45916</v>
      </c>
      <c r="D24" s="158">
        <f>IF(VLOOKUP($B24,Datenblatt!$A$43:$A$65,1,1)=$B24,0,VLOOKUP(WEEKDAY($B24),Datenblatt!$O$46:$Q$52,3,FALSE))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45917</v>
      </c>
      <c r="C25" s="157">
        <f t="shared" si="0"/>
        <v>45917</v>
      </c>
      <c r="D25" s="158">
        <f>IF(VLOOKUP($B25,Datenblatt!$A$43:$A$65,1,1)=$B25,0,VLOOKUP(WEEKDAY($B25),Datenblatt!$O$46:$Q$52,3,FALSE))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45918</v>
      </c>
      <c r="C26" s="157">
        <f t="shared" si="0"/>
        <v>45918</v>
      </c>
      <c r="D26" s="158">
        <f>IF(VLOOKUP($B26,Datenblatt!$A$43:$A$65,1,1)=$B26,0,VLOOKUP(WEEKDAY($B26),Datenblatt!$O$46:$Q$52,3,FALSE))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45919</v>
      </c>
      <c r="C27" s="157">
        <f t="shared" si="0"/>
        <v>45919</v>
      </c>
      <c r="D27" s="158">
        <f>IF(VLOOKUP($B27,Datenblatt!$A$43:$A$65,1,1)=$B27,0,VLOOKUP(WEEKDAY($B27),Datenblatt!$O$46:$Q$52,3,FALSE))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45920</v>
      </c>
      <c r="C28" s="157">
        <f t="shared" si="0"/>
        <v>45920</v>
      </c>
      <c r="D28" s="158">
        <f>IF(VLOOKUP($B28,Datenblatt!$A$43:$A$65,1,1)=$B28,0,VLOOKUP(WEEKDAY($B28),Datenblatt!$O$46:$Q$52,3,FALSE))</f>
        <v>0</v>
      </c>
      <c r="E28" s="158">
        <f>IF(VLOOKUP($B28,Datenblatt!$A$43:$A$65,1,1)=$B28,0,IF(WEEKDAY($B28)=7,1,IF(WEEKDAY($B28)=1,0,2)))</f>
        <v>1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45921</v>
      </c>
      <c r="C29" s="157">
        <f t="shared" si="0"/>
        <v>45921</v>
      </c>
      <c r="D29" s="158">
        <f>IF(VLOOKUP($B29,Datenblatt!$A$43:$A$65,1,1)=$B29,0,VLOOKUP(WEEKDAY($B29),Datenblatt!$O$46:$Q$52,3,FALSE))</f>
        <v>0</v>
      </c>
      <c r="E29" s="158">
        <f>IF(VLOOKUP($B29,Datenblatt!$A$43:$A$65,1,1)=$B29,0,IF(WEEKDAY($B29)=7,1,IF(WEEKDAY($B29)=1,0,2)))</f>
        <v>0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45922</v>
      </c>
      <c r="C30" s="157">
        <f t="shared" si="0"/>
        <v>45922</v>
      </c>
      <c r="D30" s="158">
        <f>IF(VLOOKUP($B30,Datenblatt!$A$43:$A$65,1,1)=$B30,0,VLOOKUP(WEEKDAY($B30),Datenblatt!$O$46:$Q$52,3,FALSE))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45923</v>
      </c>
      <c r="C31" s="157">
        <f t="shared" si="0"/>
        <v>45923</v>
      </c>
      <c r="D31" s="158">
        <f>IF(VLOOKUP($B31,Datenblatt!$A$43:$A$65,1,1)=$B31,0,VLOOKUP(WEEKDAY($B31),Datenblatt!$O$46:$Q$52,3,FALSE))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45924</v>
      </c>
      <c r="C32" s="157">
        <f t="shared" si="0"/>
        <v>45924</v>
      </c>
      <c r="D32" s="158">
        <f>IF(VLOOKUP($B32,Datenblatt!$A$43:$A$65,1,1)=$B32,0,VLOOKUP(WEEKDAY($B32),Datenblatt!$O$46:$Q$52,3,FALSE))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45925</v>
      </c>
      <c r="C33" s="157">
        <f t="shared" si="0"/>
        <v>45925</v>
      </c>
      <c r="D33" s="158">
        <f>IF(VLOOKUP($B33,Datenblatt!$A$43:$A$65,1,1)=$B33,0,VLOOKUP(WEEKDAY($B33),Datenblatt!$O$46:$Q$52,3,FALSE))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45926</v>
      </c>
      <c r="C34" s="157">
        <f t="shared" si="0"/>
        <v>45926</v>
      </c>
      <c r="D34" s="158">
        <f>IF(VLOOKUP($B34,Datenblatt!$A$43:$A$65,1,1)=$B34,0,VLOOKUP(WEEKDAY($B34),Datenblatt!$O$46:$Q$52,3,FALSE))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45927</v>
      </c>
      <c r="C35" s="157">
        <f t="shared" si="0"/>
        <v>45927</v>
      </c>
      <c r="D35" s="158">
        <f>IF(VLOOKUP($B35,Datenblatt!$A$43:$A$65,1,1)=$B35,0,VLOOKUP(WEEKDAY($B35),Datenblatt!$O$46:$Q$52,3,FALSE))</f>
        <v>0</v>
      </c>
      <c r="E35" s="158">
        <f>IF(VLOOKUP($B35,Datenblatt!$A$43:$A$65,1,1)=$B35,0,IF(WEEKDAY($B35)=7,1,IF(WEEKDAY($B35)=1,0,2)))</f>
        <v>1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45928</v>
      </c>
      <c r="C36" s="157">
        <f t="shared" si="0"/>
        <v>45928</v>
      </c>
      <c r="D36" s="158">
        <f>IF(VLOOKUP($B36,Datenblatt!$A$43:$A$65,1,1)=$B36,0,VLOOKUP(WEEKDAY($B36),Datenblatt!$O$46:$Q$52,3,FALSE))</f>
        <v>0</v>
      </c>
      <c r="E36" s="158">
        <f>IF(VLOOKUP($B36,Datenblatt!$A$43:$A$65,1,1)=$B36,0,IF(WEEKDAY($B36)=7,1,IF(WEEKDAY($B36)=1,0,2)))</f>
        <v>0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45929</v>
      </c>
      <c r="C37" s="157">
        <f t="shared" si="0"/>
        <v>45929</v>
      </c>
      <c r="D37" s="158">
        <f>IF(VLOOKUP($B37,Datenblatt!$A$43:$A$65,1,1)=$B37,0,VLOOKUP(WEEKDAY($B37),Datenblatt!$O$46:$Q$52,3,FALSE))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45930</v>
      </c>
      <c r="C38" s="157">
        <f t="shared" si="0"/>
        <v>45930</v>
      </c>
      <c r="D38" s="158">
        <f>IF(VLOOKUP($B38,Datenblatt!$A$43:$A$65,1,1)=$B38,0,VLOOKUP(WEEKDAY($B38),Datenblatt!$O$46:$Q$52,3,FALSE))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>IF((F39+P39+Q39=0),"",(G39-F39)-(I39-H39)-(K39-J39)-(M39-L39)+P39+Q39)</f>
        <v/>
      </c>
      <c r="S39" s="351"/>
      <c r="T39" s="168" t="str">
        <f>IF((N39+O39=0),"",(N39*0.66)+O39)</f>
        <v/>
      </c>
      <c r="U39" s="169" t="str">
        <f>IF((F39+P39+Q39=0),"",(G39-F39)-(I39-H39)-(K39-J39)-(M39-L39)+P39+Q39+(N39*0.66)+O39)</f>
        <v/>
      </c>
      <c r="V39" s="170"/>
      <c r="W39" s="421"/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124"/>
      <c r="Y40" s="331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22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September "&amp;Datenblatt!$F$5&amp;":"</f>
        <v>Sollstunden für September 2025:</v>
      </c>
      <c r="N41" s="66"/>
      <c r="O41" s="66"/>
      <c r="P41" s="186"/>
      <c r="R41" s="187"/>
      <c r="S41" s="187"/>
      <c r="T41" s="395">
        <f>SUM(D9:D39)</f>
        <v>176</v>
      </c>
      <c r="U41" s="395"/>
      <c r="V41" s="188"/>
      <c r="W41" s="188"/>
      <c r="X41" s="332"/>
      <c r="Y41" s="66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September "&amp;Datenblatt!F5&amp;":   ","Zeitdefizit im Monat September "&amp;Datenblatt!F5&amp;":   ")</f>
        <v xml:space="preserve">Zeitdefizit im Monat September 2025:   </v>
      </c>
      <c r="N42" s="190"/>
      <c r="O42" s="190"/>
      <c r="R42" s="191"/>
      <c r="S42" s="191"/>
      <c r="T42" s="409">
        <f>U40-SUM(D9:D39)</f>
        <v>-176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August "&amp;Datenblatt!F5-1&amp;":   ","  - Zeitdefizit aus August "&amp;Datenblatt!F5&amp;":   ")</f>
        <v xml:space="preserve">  - Zeitdefizit aus August 2025:   </v>
      </c>
      <c r="T43" s="410">
        <f>Aug!T44</f>
        <v>-1320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T44" s="429"/>
      <c r="U44" s="429"/>
      <c r="V44" s="194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M45" s="190" t="str">
        <f>"Übertrag für Oktober "&amp;Datenblatt!F5</f>
        <v>Übertrag für Oktober 2025</v>
      </c>
      <c r="N45" s="2"/>
      <c r="O45" s="2"/>
      <c r="P45" s="2"/>
      <c r="Q45" s="2"/>
      <c r="R45" s="196"/>
      <c r="S45" s="196"/>
      <c r="T45" s="411">
        <f>T43+T42-I42-T44</f>
        <v>-1496</v>
      </c>
      <c r="U45" s="411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5:Y35"/>
    <mergeCell ref="W36:Y36"/>
    <mergeCell ref="W37:Y37"/>
    <mergeCell ref="W38:Y38"/>
    <mergeCell ref="W39:Y39"/>
    <mergeCell ref="W30:Y30"/>
    <mergeCell ref="W31:Y31"/>
    <mergeCell ref="W32:Y32"/>
    <mergeCell ref="W33:Y33"/>
    <mergeCell ref="W34:Y34"/>
    <mergeCell ref="W25:Y25"/>
    <mergeCell ref="W26:Y26"/>
    <mergeCell ref="W27:Y27"/>
    <mergeCell ref="W28:Y28"/>
    <mergeCell ref="W29:Y29"/>
    <mergeCell ref="W20:Y20"/>
    <mergeCell ref="W21:Y21"/>
    <mergeCell ref="W22:Y22"/>
    <mergeCell ref="W23:Y23"/>
    <mergeCell ref="W24:Y24"/>
    <mergeCell ref="W15:Y15"/>
    <mergeCell ref="W16:Y16"/>
    <mergeCell ref="W17:Y17"/>
    <mergeCell ref="W18:Y18"/>
    <mergeCell ref="W19:Y19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X7:X8"/>
    <mergeCell ref="Y7:Y8"/>
    <mergeCell ref="T41:U41"/>
    <mergeCell ref="G45:I45"/>
    <mergeCell ref="I42:J42"/>
    <mergeCell ref="T42:U42"/>
    <mergeCell ref="T43:U43"/>
    <mergeCell ref="T45:U45"/>
    <mergeCell ref="T44:U44"/>
    <mergeCell ref="S7:S8"/>
    <mergeCell ref="W9:Y9"/>
    <mergeCell ref="W10:Y10"/>
    <mergeCell ref="W11:Y11"/>
    <mergeCell ref="W12:Y12"/>
    <mergeCell ref="W13:Y13"/>
    <mergeCell ref="W14:Y14"/>
  </mergeCells>
  <phoneticPr fontId="2" type="noConversion"/>
  <conditionalFormatting sqref="A15 DZ15:IV15">
    <cfRule type="cellIs" dxfId="28" priority="1" stopIfTrue="1" operator="equal">
      <formula>MATCH($E15,0)</formula>
    </cfRule>
    <cfRule type="expression" dxfId="27" priority="2" stopIfTrue="1">
      <formula>"WOCHENTAG($B8)=1"</formula>
    </cfRule>
    <cfRule type="expression" dxfId="26" priority="3" stopIfTrue="1">
      <formula>"WOCHENTAG($B8)=7"</formula>
    </cfRule>
  </conditionalFormatting>
  <conditionalFormatting sqref="B9:C38">
    <cfRule type="expression" dxfId="25" priority="8" stopIfTrue="1">
      <formula>($E9=1)</formula>
    </cfRule>
  </conditionalFormatting>
  <conditionalFormatting sqref="B9:U38 W9:W38">
    <cfRule type="expression" dxfId="24" priority="4" stopIfTrue="1">
      <formula>($E9=0)</formula>
    </cfRule>
    <cfRule type="expression" dxfId="23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20" sqref="W20:Y2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4" width="5.425781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DATE(Datenblatt!F5,10,1)</f>
        <v>45931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"&amp;Datenblatt!$T$46&amp;";"&amp;"    Di: "&amp;Datenblatt!$T$47&amp;";"&amp;"    Mi: "&amp;Datenblatt!$T$48&amp;";"&amp;"    Do: "&amp;Datenblatt!$T$49&amp;";"&amp;"    Fr: "&amp;Datenblatt!$T$50&amp;";"&amp;"    Sa: "&amp;Datenblatt!$T$51&amp;";"&amp;"    So: "&amp;Datenblatt!$T$52&amp;""&amp;"     -    Wochenarbeitszeit:  "&amp;Datenblatt!$T$53&amp;"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Sept!U5+Datenblatt!T54</f>
        <v>190</v>
      </c>
      <c r="V4" s="413"/>
      <c r="W4" s="141"/>
      <c r="X4" s="142" t="str">
        <f>"Urlaubsanspruch per 01.10."&amp;Datenblatt!$F$5</f>
        <v>Urlaubsanspruch per 01.10.2025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31.10."&amp;Datenblatt!$F$5</f>
        <v>Resturlaub per 31.10.2025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45931</v>
      </c>
      <c r="C9" s="157">
        <f t="shared" ref="C9:C39" si="0">B9</f>
        <v>45931</v>
      </c>
      <c r="D9" s="158">
        <f>IF(VLOOKUP($B9,Datenblatt!$A$43:$A$65,1,1)=$B9,0,VLOOKUP(WEEKDAY($B9),Datenblatt!$R$46:$T$52,3,FALSE))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45932</v>
      </c>
      <c r="C10" s="157">
        <f t="shared" si="0"/>
        <v>45932</v>
      </c>
      <c r="D10" s="158">
        <f>IF(VLOOKUP($B10,Datenblatt!$A$43:$A$65,1,1)=$B10,0,VLOOKUP(WEEKDAY($B10),Datenblatt!$R$46:$T$52,3,FALSE))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45933</v>
      </c>
      <c r="C11" s="157">
        <f t="shared" si="0"/>
        <v>45933</v>
      </c>
      <c r="D11" s="158">
        <f>IF(VLOOKUP($B11,Datenblatt!$A$43:$A$65,1,1)=$B11,0,VLOOKUP(WEEKDAY($B11),Datenblatt!$R$46:$T$52,3,FALSE))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45934</v>
      </c>
      <c r="C12" s="157">
        <f t="shared" si="0"/>
        <v>45934</v>
      </c>
      <c r="D12" s="158">
        <f>IF(VLOOKUP($B12,Datenblatt!$A$43:$A$65,1,1)=$B12,0,VLOOKUP(WEEKDAY($B12),Datenblatt!$R$46:$T$52,3,FALSE))</f>
        <v>0</v>
      </c>
      <c r="E12" s="158">
        <f>IF(VLOOKUP($B12,Datenblatt!$A$43:$A$65,1,1)=$B12,0,IF(WEEKDAY($B12)=7,1,IF(WEEKDAY($B12)=1,0,2)))</f>
        <v>1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45935</v>
      </c>
      <c r="C13" s="157">
        <f t="shared" si="0"/>
        <v>45935</v>
      </c>
      <c r="D13" s="158">
        <f>IF(VLOOKUP($B13,Datenblatt!$A$43:$A$65,1,1)=$B13,0,VLOOKUP(WEEKDAY($B13),Datenblatt!$R$46:$T$52,3,FALSE))</f>
        <v>0</v>
      </c>
      <c r="E13" s="158">
        <f>IF(VLOOKUP($B13,Datenblatt!$A$43:$A$65,1,1)=$B13,0,IF(WEEKDAY($B13)=7,1,IF(WEEKDAY($B13)=1,0,2)))</f>
        <v>0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45936</v>
      </c>
      <c r="C14" s="157">
        <f t="shared" si="0"/>
        <v>45936</v>
      </c>
      <c r="D14" s="158">
        <f>IF(VLOOKUP($B14,Datenblatt!$A$43:$A$65,1,1)=$B14,0,VLOOKUP(WEEKDAY($B14),Datenblatt!$R$46:$T$52,3,FALSE))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45937</v>
      </c>
      <c r="C15" s="157">
        <f t="shared" si="0"/>
        <v>45937</v>
      </c>
      <c r="D15" s="158">
        <f>IF(VLOOKUP($B15,Datenblatt!$A$43:$A$65,1,1)=$B15,0,VLOOKUP(WEEKDAY($B15),Datenblatt!$R$46:$T$52,3,FALSE))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45938</v>
      </c>
      <c r="C16" s="157">
        <f t="shared" si="0"/>
        <v>45938</v>
      </c>
      <c r="D16" s="158">
        <f>IF(VLOOKUP($B16,Datenblatt!$A$43:$A$65,1,1)=$B16,0,VLOOKUP(WEEKDAY($B16),Datenblatt!$R$46:$T$52,3,FALSE))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45939</v>
      </c>
      <c r="C17" s="157">
        <f t="shared" si="0"/>
        <v>45939</v>
      </c>
      <c r="D17" s="158">
        <f>IF(VLOOKUP($B17,Datenblatt!$A$43:$A$65,1,1)=$B17,0,VLOOKUP(WEEKDAY($B17),Datenblatt!$R$46:$T$52,3,FALSE))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45940</v>
      </c>
      <c r="C18" s="157">
        <f t="shared" si="0"/>
        <v>45940</v>
      </c>
      <c r="D18" s="158">
        <f>IF(VLOOKUP($B18,Datenblatt!$A$43:$A$65,1,1)=$B18,0,VLOOKUP(WEEKDAY($B18),Datenblatt!$R$46:$T$52,3,FALSE))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45941</v>
      </c>
      <c r="C19" s="157">
        <f t="shared" si="0"/>
        <v>45941</v>
      </c>
      <c r="D19" s="158">
        <f>IF(VLOOKUP($B19,Datenblatt!$A$43:$A$65,1,1)=$B19,0,VLOOKUP(WEEKDAY($B19),Datenblatt!$R$46:$T$52,3,FALSE))</f>
        <v>0</v>
      </c>
      <c r="E19" s="158">
        <f>IF(VLOOKUP($B19,Datenblatt!$A$43:$A$65,1,1)=$B19,0,IF(WEEKDAY($B19)=7,1,IF(WEEKDAY($B19)=1,0,2)))</f>
        <v>1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45942</v>
      </c>
      <c r="C20" s="157">
        <f t="shared" si="0"/>
        <v>45942</v>
      </c>
      <c r="D20" s="158">
        <f>IF(VLOOKUP($B20,Datenblatt!$A$43:$A$65,1,1)=$B20,0,VLOOKUP(WEEKDAY($B20),Datenblatt!$R$46:$T$52,3,FALSE))</f>
        <v>0</v>
      </c>
      <c r="E20" s="158">
        <f>IF(VLOOKUP($B20,Datenblatt!$A$43:$A$65,1,1)=$B20,0,IF(WEEKDAY($B20)=7,1,IF(WEEKDAY($B20)=1,0,2)))</f>
        <v>0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45943</v>
      </c>
      <c r="C21" s="157">
        <f t="shared" si="0"/>
        <v>45943</v>
      </c>
      <c r="D21" s="158">
        <f>IF(VLOOKUP($B21,Datenblatt!$A$43:$A$65,1,1)=$B21,0,VLOOKUP(WEEKDAY($B21),Datenblatt!$R$46:$T$52,3,FALSE))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45944</v>
      </c>
      <c r="C22" s="157">
        <f t="shared" si="0"/>
        <v>45944</v>
      </c>
      <c r="D22" s="158">
        <f>IF(VLOOKUP($B22,Datenblatt!$A$43:$A$65,1,1)=$B22,0,VLOOKUP(WEEKDAY($B22),Datenblatt!$R$46:$T$52,3,FALSE))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45945</v>
      </c>
      <c r="C23" s="157">
        <f t="shared" si="0"/>
        <v>45945</v>
      </c>
      <c r="D23" s="158">
        <f>IF(VLOOKUP($B23,Datenblatt!$A$43:$A$65,1,1)=$B23,0,VLOOKUP(WEEKDAY($B23),Datenblatt!$R$46:$T$52,3,FALSE))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45946</v>
      </c>
      <c r="C24" s="157">
        <f t="shared" si="0"/>
        <v>45946</v>
      </c>
      <c r="D24" s="158">
        <f>IF(VLOOKUP($B24,Datenblatt!$A$43:$A$65,1,1)=$B24,0,VLOOKUP(WEEKDAY($B24),Datenblatt!$R$46:$T$52,3,FALSE))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45947</v>
      </c>
      <c r="C25" s="157">
        <f t="shared" si="0"/>
        <v>45947</v>
      </c>
      <c r="D25" s="158">
        <f>IF(VLOOKUP($B25,Datenblatt!$A$43:$A$65,1,1)=$B25,0,VLOOKUP(WEEKDAY($B25),Datenblatt!$R$46:$T$52,3,FALSE))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45948</v>
      </c>
      <c r="C26" s="157">
        <f t="shared" si="0"/>
        <v>45948</v>
      </c>
      <c r="D26" s="158">
        <f>IF(VLOOKUP($B26,Datenblatt!$A$43:$A$65,1,1)=$B26,0,VLOOKUP(WEEKDAY($B26),Datenblatt!$R$46:$T$52,3,FALSE))</f>
        <v>0</v>
      </c>
      <c r="E26" s="158">
        <f>IF(VLOOKUP($B26,Datenblatt!$A$43:$A$65,1,1)=$B26,0,IF(WEEKDAY($B26)=7,1,IF(WEEKDAY($B26)=1,0,2)))</f>
        <v>1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45949</v>
      </c>
      <c r="C27" s="157">
        <f t="shared" si="0"/>
        <v>45949</v>
      </c>
      <c r="D27" s="158">
        <f>IF(VLOOKUP($B27,Datenblatt!$A$43:$A$65,1,1)=$B27,0,VLOOKUP(WEEKDAY($B27),Datenblatt!$R$46:$T$52,3,FALSE))</f>
        <v>0</v>
      </c>
      <c r="E27" s="158">
        <f>IF(VLOOKUP($B27,Datenblatt!$A$43:$A$65,1,1)=$B27,0,IF(WEEKDAY($B27)=7,1,IF(WEEKDAY($B27)=1,0,2)))</f>
        <v>0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45950</v>
      </c>
      <c r="C28" s="157">
        <f t="shared" si="0"/>
        <v>45950</v>
      </c>
      <c r="D28" s="158">
        <f>IF(VLOOKUP($B28,Datenblatt!$A$43:$A$65,1,1)=$B28,0,VLOOKUP(WEEKDAY($B28),Datenblatt!$R$46:$T$52,3,FALSE))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45951</v>
      </c>
      <c r="C29" s="157">
        <f t="shared" si="0"/>
        <v>45951</v>
      </c>
      <c r="D29" s="158">
        <f>IF(VLOOKUP($B29,Datenblatt!$A$43:$A$65,1,1)=$B29,0,VLOOKUP(WEEKDAY($B29),Datenblatt!$R$46:$T$52,3,FALSE))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45952</v>
      </c>
      <c r="C30" s="157">
        <f t="shared" si="0"/>
        <v>45952</v>
      </c>
      <c r="D30" s="158">
        <f>IF(VLOOKUP($B30,Datenblatt!$A$43:$A$65,1,1)=$B30,0,VLOOKUP(WEEKDAY($B30),Datenblatt!$R$46:$T$52,3,FALSE))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45953</v>
      </c>
      <c r="C31" s="157">
        <f t="shared" si="0"/>
        <v>45953</v>
      </c>
      <c r="D31" s="158">
        <f>IF(VLOOKUP($B31,Datenblatt!$A$43:$A$65,1,1)=$B31,0,VLOOKUP(WEEKDAY($B31),Datenblatt!$R$46:$T$52,3,FALSE))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45954</v>
      </c>
      <c r="C32" s="157">
        <f t="shared" si="0"/>
        <v>45954</v>
      </c>
      <c r="D32" s="158">
        <f>IF(VLOOKUP($B32,Datenblatt!$A$43:$A$65,1,1)=$B32,0,VLOOKUP(WEEKDAY($B32),Datenblatt!$R$46:$T$52,3,FALSE))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45955</v>
      </c>
      <c r="C33" s="157">
        <f t="shared" si="0"/>
        <v>45955</v>
      </c>
      <c r="D33" s="158">
        <f>IF(VLOOKUP($B33,Datenblatt!$A$43:$A$65,1,1)=$B33,0,VLOOKUP(WEEKDAY($B33),Datenblatt!$R$46:$T$52,3,FALSE))</f>
        <v>0</v>
      </c>
      <c r="E33" s="158">
        <f>IF(VLOOKUP($B33,Datenblatt!$A$43:$A$65,1,1)=$B33,0,IF(WEEKDAY($B33)=7,1,IF(WEEKDAY($B33)=1,0,2)))</f>
        <v>1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45956</v>
      </c>
      <c r="C34" s="157">
        <f t="shared" si="0"/>
        <v>45956</v>
      </c>
      <c r="D34" s="158">
        <f>IF(VLOOKUP($B34,Datenblatt!$A$43:$A$65,1,1)=$B34,0,VLOOKUP(WEEKDAY($B34),Datenblatt!$R$46:$T$52,3,FALSE))</f>
        <v>0</v>
      </c>
      <c r="E34" s="158">
        <f>IF(VLOOKUP($B34,Datenblatt!$A$43:$A$65,1,1)=$B34,0,IF(WEEKDAY($B34)=7,1,IF(WEEKDAY($B34)=1,0,2)))</f>
        <v>0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>Nationalfeiertag</v>
      </c>
      <c r="X34" s="402"/>
      <c r="Y34" s="403"/>
      <c r="AB34" s="171"/>
    </row>
    <row r="35" spans="2:129" ht="12.2" customHeight="1">
      <c r="B35" s="156">
        <f t="shared" si="1"/>
        <v>45957</v>
      </c>
      <c r="C35" s="157">
        <f t="shared" si="0"/>
        <v>45957</v>
      </c>
      <c r="D35" s="158">
        <f>IF(VLOOKUP($B35,Datenblatt!$A$43:$A$65,1,1)=$B35,0,VLOOKUP(WEEKDAY($B35),Datenblatt!$R$46:$T$52,3,FALSE))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45958</v>
      </c>
      <c r="C36" s="157">
        <f t="shared" si="0"/>
        <v>45958</v>
      </c>
      <c r="D36" s="158">
        <f>IF(VLOOKUP($B36,Datenblatt!$A$43:$A$65,1,1)=$B36,0,VLOOKUP(WEEKDAY($B36),Datenblatt!$R$46:$T$52,3,FALSE))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45959</v>
      </c>
      <c r="C37" s="157">
        <f t="shared" si="0"/>
        <v>45959</v>
      </c>
      <c r="D37" s="158">
        <f>IF(VLOOKUP($B37,Datenblatt!$A$43:$A$65,1,1)=$B37,0,VLOOKUP(WEEKDAY($B37),Datenblatt!$R$46:$T$52,3,FALSE))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45960</v>
      </c>
      <c r="C38" s="157">
        <f t="shared" si="0"/>
        <v>45960</v>
      </c>
      <c r="D38" s="158">
        <f>IF(VLOOKUP($B38,Datenblatt!$A$43:$A$65,1,1)=$B38,0,VLOOKUP(WEEKDAY($B38),Datenblatt!$R$46:$T$52,3,FALSE))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45961</v>
      </c>
      <c r="C39" s="157">
        <f t="shared" si="0"/>
        <v>45961</v>
      </c>
      <c r="D39" s="158">
        <f>IF(VLOOKUP($B39,Datenblatt!$A$43:$A$65,1,1)=$B39,0,VLOOKUP(WEEKDAY($B39),Datenblatt!$R$46:$T$52,3,FALSE))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23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Oktober "&amp;Datenblatt!$F$5&amp;":"</f>
        <v>Sollstunden für Oktober 2025:</v>
      </c>
      <c r="N41" s="66"/>
      <c r="O41" s="66"/>
      <c r="P41" s="186"/>
      <c r="R41" s="187"/>
      <c r="S41" s="187"/>
      <c r="T41" s="395">
        <f>SUM(D9:D39)</f>
        <v>184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Oktober "&amp;Datenblatt!F5&amp;":   ","Zeitdefizit im Monat Oktober "&amp;Datenblatt!F5&amp;":   ")</f>
        <v xml:space="preserve">Zeitdefizit im Monat Oktober 2025:   </v>
      </c>
      <c r="N42" s="190"/>
      <c r="O42" s="190"/>
      <c r="R42" s="191"/>
      <c r="S42" s="191"/>
      <c r="T42" s="409">
        <f>U40-SUM(D9:D39)</f>
        <v>-184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September "&amp;Datenblatt!F5-1&amp;":   ","  - Zeitdefizit aus September "&amp;Datenblatt!F5&amp;":   ")</f>
        <v xml:space="preserve">  - Zeitdefizit aus September 2025:   </v>
      </c>
      <c r="T43" s="410">
        <f>Sept!T45</f>
        <v>-1496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November "&amp;Datenblatt!F5</f>
        <v>Übertrag für November 2025</v>
      </c>
      <c r="R44" s="196"/>
      <c r="S44" s="196"/>
      <c r="T44" s="411">
        <f>T43+T42-I42</f>
        <v>-1680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22" priority="1" stopIfTrue="1" operator="equal">
      <formula>MATCH($E15,0)</formula>
    </cfRule>
    <cfRule type="expression" dxfId="21" priority="2" stopIfTrue="1">
      <formula>"WOCHENTAG($B8)=1"</formula>
    </cfRule>
    <cfRule type="expression" dxfId="20" priority="3" stopIfTrue="1">
      <formula>"WOCHENTAG($B8)=7"</formula>
    </cfRule>
  </conditionalFormatting>
  <conditionalFormatting sqref="B9:C39">
    <cfRule type="expression" dxfId="19" priority="8" stopIfTrue="1">
      <formula>($E9=1)</formula>
    </cfRule>
  </conditionalFormatting>
  <conditionalFormatting sqref="B9:U39 W9:W39">
    <cfRule type="expression" dxfId="18" priority="4" stopIfTrue="1">
      <formula>($E9=0)</formula>
    </cfRule>
    <cfRule type="expression" dxfId="17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0" sqref="W10:Y1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7109375" style="94" customWidth="1"/>
    <col min="4" max="4" width="6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DATE(Datenblatt!F5,11,1)</f>
        <v>45962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"&amp;Datenblatt!$W$46&amp;";"&amp;"    Di: "&amp;Datenblatt!$W$47&amp;";"&amp;"    Mi: "&amp;Datenblatt!$W$48&amp;";"&amp;"    Do: "&amp;Datenblatt!$W$49&amp;";"&amp;"    Fr: "&amp;Datenblatt!$W$50&amp;";"&amp;"    Sa: "&amp;Datenblatt!$W$51&amp;";"&amp;"    So: "&amp;Datenblatt!$W$52&amp;""&amp;"     -    Wochenarbeitszeit:  "&amp;Datenblatt!$W$53&amp;"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Okt!U5+Datenblatt!W54</f>
        <v>190</v>
      </c>
      <c r="V4" s="413"/>
      <c r="W4" s="141"/>
      <c r="X4" s="142" t="str">
        <f>"Urlaubsanspruch per 01.11."&amp;Datenblatt!$F$5</f>
        <v>Urlaubsanspruch per 01.11.2025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30.11."&amp;Datenblatt!$F$5</f>
        <v>Resturlaub per 30.11.2025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45962</v>
      </c>
      <c r="C9" s="157">
        <f t="shared" ref="C9:C38" si="0">B9</f>
        <v>45962</v>
      </c>
      <c r="D9" s="158">
        <f>IF(VLOOKUP($B9,Datenblatt!$A$43:$A$65,1,1)=$B9,0,VLOOKUP(WEEKDAY($B9),Datenblatt!$U$46:$W$52,3,FALSE))</f>
        <v>0</v>
      </c>
      <c r="E9" s="158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>Allerheiligen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8" si="1">B9+1</f>
        <v>45963</v>
      </c>
      <c r="C10" s="157">
        <f t="shared" si="0"/>
        <v>45963</v>
      </c>
      <c r="D10" s="158">
        <f>IF(VLOOKUP($B10,Datenblatt!$A$43:$A$65,1,1)=$B10,0,VLOOKUP(WEEKDAY($B10),Datenblatt!$U$46:$W$52,3,FALSE))</f>
        <v>0</v>
      </c>
      <c r="E10" s="158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8" si="2">IF((F10+P10+Q10=0),"",(G10-F10)-(I10-H10)-(K10-J10)-(M10-L10)+P10+Q10)</f>
        <v/>
      </c>
      <c r="S10" s="351" t="str">
        <f t="shared" ref="S10:S38" si="3">IF((N10+O10=0),"",(N10*0.66))</f>
        <v/>
      </c>
      <c r="T10" s="168" t="str">
        <f t="shared" ref="T10:T38" si="4">IF(U10="","",U10-R10)</f>
        <v/>
      </c>
      <c r="U10" s="169" t="str">
        <f t="shared" ref="U10:U38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45964</v>
      </c>
      <c r="C11" s="157">
        <f t="shared" si="0"/>
        <v>45964</v>
      </c>
      <c r="D11" s="158">
        <f>IF(VLOOKUP($B11,Datenblatt!$A$43:$A$65,1,1)=$B11,0,VLOOKUP(WEEKDAY($B11),Datenblatt!$U$46:$W$52,3,FALSE))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45965</v>
      </c>
      <c r="C12" s="157">
        <f t="shared" si="0"/>
        <v>45965</v>
      </c>
      <c r="D12" s="158">
        <f>IF(VLOOKUP($B12,Datenblatt!$A$43:$A$65,1,1)=$B12,0,VLOOKUP(WEEKDAY($B12),Datenblatt!$U$46:$W$52,3,FALSE))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45966</v>
      </c>
      <c r="C13" s="157">
        <f t="shared" si="0"/>
        <v>45966</v>
      </c>
      <c r="D13" s="158">
        <f>IF(VLOOKUP($B13,Datenblatt!$A$43:$A$65,1,1)=$B13,0,VLOOKUP(WEEKDAY($B13),Datenblatt!$U$46:$W$52,3,FALSE))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45967</v>
      </c>
      <c r="C14" s="157">
        <f t="shared" si="0"/>
        <v>45967</v>
      </c>
      <c r="D14" s="158">
        <f>IF(VLOOKUP($B14,Datenblatt!$A$43:$A$65,1,1)=$B14,0,VLOOKUP(WEEKDAY($B14),Datenblatt!$U$46:$W$52,3,FALSE))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45968</v>
      </c>
      <c r="C15" s="157">
        <f t="shared" si="0"/>
        <v>45968</v>
      </c>
      <c r="D15" s="158">
        <f>IF(VLOOKUP($B15,Datenblatt!$A$43:$A$65,1,1)=$B15,0,VLOOKUP(WEEKDAY($B15),Datenblatt!$U$46:$W$52,3,FALSE))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45969</v>
      </c>
      <c r="C16" s="157">
        <f t="shared" si="0"/>
        <v>45969</v>
      </c>
      <c r="D16" s="158">
        <f>IF(VLOOKUP($B16,Datenblatt!$A$43:$A$65,1,1)=$B16,0,VLOOKUP(WEEKDAY($B16),Datenblatt!$U$46:$W$52,3,FALSE))</f>
        <v>0</v>
      </c>
      <c r="E16" s="158">
        <f>IF(VLOOKUP($B16,Datenblatt!$A$43:$A$65,1,1)=$B16,0,IF(WEEKDAY($B16)=7,1,IF(WEEKDAY($B16)=1,0,2)))</f>
        <v>1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45970</v>
      </c>
      <c r="C17" s="157">
        <f t="shared" si="0"/>
        <v>45970</v>
      </c>
      <c r="D17" s="158">
        <f>IF(VLOOKUP($B17,Datenblatt!$A$43:$A$65,1,1)=$B17,0,VLOOKUP(WEEKDAY($B17),Datenblatt!$U$46:$W$52,3,FALSE))</f>
        <v>0</v>
      </c>
      <c r="E17" s="158">
        <f>IF(VLOOKUP($B17,Datenblatt!$A$43:$A$65,1,1)=$B17,0,IF(WEEKDAY($B17)=7,1,IF(WEEKDAY($B17)=1,0,2)))</f>
        <v>0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45971</v>
      </c>
      <c r="C18" s="157">
        <f t="shared" si="0"/>
        <v>45971</v>
      </c>
      <c r="D18" s="158">
        <f>IF(VLOOKUP($B18,Datenblatt!$A$43:$A$65,1,1)=$B18,0,VLOOKUP(WEEKDAY($B18),Datenblatt!$U$46:$W$52,3,FALSE))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45972</v>
      </c>
      <c r="C19" s="157">
        <f t="shared" si="0"/>
        <v>45972</v>
      </c>
      <c r="D19" s="158">
        <f>IF(VLOOKUP($B19,Datenblatt!$A$43:$A$65,1,1)=$B19,0,VLOOKUP(WEEKDAY($B19),Datenblatt!$U$46:$W$52,3,FALSE))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45973</v>
      </c>
      <c r="C20" s="157">
        <f t="shared" si="0"/>
        <v>45973</v>
      </c>
      <c r="D20" s="158">
        <f>IF(VLOOKUP($B20,Datenblatt!$A$43:$A$65,1,1)=$B20,0,VLOOKUP(WEEKDAY($B20),Datenblatt!$U$46:$W$52,3,FALSE))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45974</v>
      </c>
      <c r="C21" s="157">
        <f t="shared" si="0"/>
        <v>45974</v>
      </c>
      <c r="D21" s="158">
        <f>IF(VLOOKUP($B21,Datenblatt!$A$43:$A$65,1,1)=$B21,0,VLOOKUP(WEEKDAY($B21),Datenblatt!$U$46:$W$52,3,FALSE))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45975</v>
      </c>
      <c r="C22" s="157">
        <f t="shared" si="0"/>
        <v>45975</v>
      </c>
      <c r="D22" s="158">
        <f>IF(VLOOKUP($B22,Datenblatt!$A$43:$A$65,1,1)=$B22,0,VLOOKUP(WEEKDAY($B22),Datenblatt!$U$46:$W$52,3,FALSE))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45976</v>
      </c>
      <c r="C23" s="157">
        <f t="shared" si="0"/>
        <v>45976</v>
      </c>
      <c r="D23" s="158">
        <f>IF(VLOOKUP($B23,Datenblatt!$A$43:$A$65,1,1)=$B23,0,VLOOKUP(WEEKDAY($B23),Datenblatt!$U$46:$W$52,3,FALSE))</f>
        <v>0</v>
      </c>
      <c r="E23" s="158">
        <f>IF(VLOOKUP($B23,Datenblatt!$A$43:$A$65,1,1)=$B23,0,IF(WEEKDAY($B23)=7,1,IF(WEEKDAY($B23)=1,0,2)))</f>
        <v>1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45977</v>
      </c>
      <c r="C24" s="157">
        <f t="shared" si="0"/>
        <v>45977</v>
      </c>
      <c r="D24" s="158">
        <f>IF(VLOOKUP($B24,Datenblatt!$A$43:$A$65,1,1)=$B24,0,VLOOKUP(WEEKDAY($B24),Datenblatt!$U$46:$W$52,3,FALSE))</f>
        <v>0</v>
      </c>
      <c r="E24" s="158">
        <f>IF(VLOOKUP($B24,Datenblatt!$A$43:$A$65,1,1)=$B24,0,IF(WEEKDAY($B24)=7,1,IF(WEEKDAY($B24)=1,0,2)))</f>
        <v>0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45978</v>
      </c>
      <c r="C25" s="157">
        <f t="shared" si="0"/>
        <v>45978</v>
      </c>
      <c r="D25" s="158">
        <f>IF(VLOOKUP($B25,Datenblatt!$A$43:$A$65,1,1)=$B25,0,VLOOKUP(WEEKDAY($B25),Datenblatt!$U$46:$W$52,3,FALSE))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45979</v>
      </c>
      <c r="C26" s="157">
        <f t="shared" si="0"/>
        <v>45979</v>
      </c>
      <c r="D26" s="158">
        <f>IF(VLOOKUP($B26,Datenblatt!$A$43:$A$65,1,1)=$B26,0,VLOOKUP(WEEKDAY($B26),Datenblatt!$U$46:$W$52,3,FALSE))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45980</v>
      </c>
      <c r="C27" s="157">
        <f t="shared" si="0"/>
        <v>45980</v>
      </c>
      <c r="D27" s="158">
        <f>IF(VLOOKUP($B27,Datenblatt!$A$43:$A$65,1,1)=$B27,0,VLOOKUP(WEEKDAY($B27),Datenblatt!$U$46:$W$52,3,FALSE))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45981</v>
      </c>
      <c r="C28" s="157">
        <f t="shared" si="0"/>
        <v>45981</v>
      </c>
      <c r="D28" s="158">
        <f>IF(VLOOKUP($B28,Datenblatt!$A$43:$A$65,1,1)=$B28,0,VLOOKUP(WEEKDAY($B28),Datenblatt!$U$46:$W$52,3,FALSE))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45982</v>
      </c>
      <c r="C29" s="157">
        <f t="shared" si="0"/>
        <v>45982</v>
      </c>
      <c r="D29" s="158">
        <f>IF(VLOOKUP($B29,Datenblatt!$A$43:$A$65,1,1)=$B29,0,VLOOKUP(WEEKDAY($B29),Datenblatt!$U$46:$W$52,3,FALSE))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45983</v>
      </c>
      <c r="C30" s="157">
        <f t="shared" si="0"/>
        <v>45983</v>
      </c>
      <c r="D30" s="158">
        <f>IF(VLOOKUP($B30,Datenblatt!$A$43:$A$65,1,1)=$B30,0,VLOOKUP(WEEKDAY($B30),Datenblatt!$U$46:$W$52,3,FALSE))</f>
        <v>0</v>
      </c>
      <c r="E30" s="158">
        <f>IF(VLOOKUP($B30,Datenblatt!$A$43:$A$65,1,1)=$B30,0,IF(WEEKDAY($B30)=7,1,IF(WEEKDAY($B30)=1,0,2)))</f>
        <v>1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45984</v>
      </c>
      <c r="C31" s="157">
        <f t="shared" si="0"/>
        <v>45984</v>
      </c>
      <c r="D31" s="158">
        <f>IF(VLOOKUP($B31,Datenblatt!$A$43:$A$65,1,1)=$B31,0,VLOOKUP(WEEKDAY($B31),Datenblatt!$U$46:$W$52,3,FALSE))</f>
        <v>0</v>
      </c>
      <c r="E31" s="158">
        <f>IF(VLOOKUP($B31,Datenblatt!$A$43:$A$65,1,1)=$B31,0,IF(WEEKDAY($B31)=7,1,IF(WEEKDAY($B31)=1,0,2)))</f>
        <v>0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45985</v>
      </c>
      <c r="C32" s="157">
        <f t="shared" si="0"/>
        <v>45985</v>
      </c>
      <c r="D32" s="158">
        <f>IF(VLOOKUP($B32,Datenblatt!$A$43:$A$65,1,1)=$B32,0,VLOOKUP(WEEKDAY($B32),Datenblatt!$U$46:$W$52,3,FALSE))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45986</v>
      </c>
      <c r="C33" s="157">
        <f t="shared" si="0"/>
        <v>45986</v>
      </c>
      <c r="D33" s="158">
        <f>IF(VLOOKUP($B33,Datenblatt!$A$43:$A$65,1,1)=$B33,0,VLOOKUP(WEEKDAY($B33),Datenblatt!$U$46:$W$52,3,FALSE))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45987</v>
      </c>
      <c r="C34" s="157">
        <f t="shared" si="0"/>
        <v>45987</v>
      </c>
      <c r="D34" s="158">
        <f>IF(VLOOKUP($B34,Datenblatt!$A$43:$A$65,1,1)=$B34,0,VLOOKUP(WEEKDAY($B34),Datenblatt!$U$46:$W$52,3,FALSE))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45988</v>
      </c>
      <c r="C35" s="157">
        <f t="shared" si="0"/>
        <v>45988</v>
      </c>
      <c r="D35" s="158">
        <f>IF(VLOOKUP($B35,Datenblatt!$A$43:$A$65,1,1)=$B35,0,VLOOKUP(WEEKDAY($B35),Datenblatt!$U$46:$W$52,3,FALSE))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45989</v>
      </c>
      <c r="C36" s="157">
        <f t="shared" si="0"/>
        <v>45989</v>
      </c>
      <c r="D36" s="158">
        <f>IF(VLOOKUP($B36,Datenblatt!$A$43:$A$65,1,1)=$B36,0,VLOOKUP(WEEKDAY($B36),Datenblatt!$U$46:$W$52,3,FALSE))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45990</v>
      </c>
      <c r="C37" s="157">
        <f t="shared" si="0"/>
        <v>45990</v>
      </c>
      <c r="D37" s="158">
        <f>IF(VLOOKUP($B37,Datenblatt!$A$43:$A$65,1,1)=$B37,0,VLOOKUP(WEEKDAY($B37),Datenblatt!$U$46:$W$52,3,FALSE))</f>
        <v>0</v>
      </c>
      <c r="E37" s="158">
        <f>IF(VLOOKUP($B37,Datenblatt!$A$43:$A$65,1,1)=$B37,0,IF(WEEKDAY($B37)=7,1,IF(WEEKDAY($B37)=1,0,2)))</f>
        <v>1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45991</v>
      </c>
      <c r="C38" s="157">
        <f t="shared" si="0"/>
        <v>45991</v>
      </c>
      <c r="D38" s="158">
        <f>IF(VLOOKUP($B38,Datenblatt!$A$43:$A$65,1,1)=$B38,0,VLOOKUP(WEEKDAY($B38),Datenblatt!$U$46:$W$52,3,FALSE))</f>
        <v>0</v>
      </c>
      <c r="E38" s="158">
        <f>IF(VLOOKUP($B38,Datenblatt!$A$43:$A$65,1,1)=$B38,0,IF(WEEKDAY($B38)=7,1,IF(WEEKDAY($B38)=1,0,2)))</f>
        <v>0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>IF((F39+P39+Q39=0),"",(G39-F39)-(I39-H39)-(K39-J39)-(M39-L39)+P39+Q39)</f>
        <v/>
      </c>
      <c r="S39" s="351"/>
      <c r="T39" s="168" t="str">
        <f>IF((N39+O39=0),"",(N39*0.66)+O39)</f>
        <v/>
      </c>
      <c r="U39" s="169" t="str">
        <f>IF((F39+P39+Q39=0),"",(G39-F39)-(I39-H39)-(K39-J39)-(M39-L39)+P39+Q39+(N39*0.66)+O39)</f>
        <v/>
      </c>
      <c r="V39" s="170"/>
      <c r="W39" s="421"/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November "&amp;Datenblatt!$F$5&amp;":"</f>
        <v>Sollstunden für November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November "&amp;Datenblatt!F5&amp;":   ","Zeitdefizit im Monat November "&amp;Datenblatt!F5&amp;":   ")</f>
        <v xml:space="preserve">Zeitdefizit im Monat November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Oktober "&amp;Datenblatt!F5-1&amp;":   ","  - Zeitdefizit aus Oktober "&amp;Datenblatt!F5&amp;":   ")</f>
        <v xml:space="preserve">  - Zeitdefizit aus Oktober 2025:   </v>
      </c>
      <c r="T43" s="410">
        <f>Okt!T44</f>
        <v>-1680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Dezember "&amp;Datenblatt!F5</f>
        <v>Übertrag für Dezember 2025</v>
      </c>
      <c r="R44" s="196"/>
      <c r="S44" s="196"/>
      <c r="T44" s="411">
        <f>T43+T42-I42</f>
        <v>-1840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16" priority="1" stopIfTrue="1" operator="equal">
      <formula>MATCH($E15,0)</formula>
    </cfRule>
    <cfRule type="expression" dxfId="15" priority="2" stopIfTrue="1">
      <formula>"WOCHENTAG($B8)=1"</formula>
    </cfRule>
    <cfRule type="expression" dxfId="14" priority="3" stopIfTrue="1">
      <formula>"WOCHENTAG($B8)=7"</formula>
    </cfRule>
  </conditionalFormatting>
  <conditionalFormatting sqref="B9:C38">
    <cfRule type="expression" dxfId="13" priority="8" stopIfTrue="1">
      <formula>($E9=1)</formula>
    </cfRule>
  </conditionalFormatting>
  <conditionalFormatting sqref="B9:U38 W9:W38">
    <cfRule type="expression" dxfId="12" priority="4" stopIfTrue="1">
      <formula>($E9=0)</formula>
    </cfRule>
    <cfRule type="expression" dxfId="1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8" sqref="W18:Y19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7109375" style="94" customWidth="1"/>
    <col min="4" max="4" width="4.8554687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DATE(Datenblatt!F5,12,1)</f>
        <v>45992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"&amp;Datenblatt!$Z$46&amp;";"&amp;"    Di: "&amp;Datenblatt!$Z$47&amp;";"&amp;"    Mi: "&amp;Datenblatt!$Z$48&amp;";"&amp;"    Do: "&amp;Datenblatt!$Z$49&amp;";"&amp;"    Fr: "&amp;Datenblatt!$Z$50&amp;";"&amp;"    Sa: "&amp;Datenblatt!$Z$51&amp;";"&amp;"    So: "&amp;Datenblatt!$Z$52&amp;""&amp;"     -    Wochenarbeitszeit:  "&amp;Datenblatt!$Z$53&amp;"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Nov!U5+Datenblatt!Z54</f>
        <v>190</v>
      </c>
      <c r="V4" s="413"/>
      <c r="W4" s="141"/>
      <c r="X4" s="142" t="str">
        <f>"Urlaubsanspruch per 01.12."&amp;Datenblatt!$F$5</f>
        <v>Urlaubsanspruch per 01.12.2025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31.12."&amp;Datenblatt!$F$5</f>
        <v>Resturlaub per 31.12.2025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45992</v>
      </c>
      <c r="C9" s="157">
        <f t="shared" ref="C9:C39" si="0">B9</f>
        <v>45992</v>
      </c>
      <c r="D9" s="158">
        <f>IF(VLOOKUP($B9,Datenblatt!$A$43:$A$65,1,1)=$B9,0,VLOOKUP(WEEKDAY($B9),Datenblatt!$X$46:$Z$52,3,FALSE))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45993</v>
      </c>
      <c r="C10" s="157">
        <f t="shared" si="0"/>
        <v>45993</v>
      </c>
      <c r="D10" s="158">
        <f>IF(VLOOKUP($B10,Datenblatt!$A$43:$A$65,1,1)=$B10,0,VLOOKUP(WEEKDAY($B10),Datenblatt!$X$46:$Z$52,3,FALSE))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45994</v>
      </c>
      <c r="C11" s="157">
        <f t="shared" si="0"/>
        <v>45994</v>
      </c>
      <c r="D11" s="158">
        <f>IF(VLOOKUP($B11,Datenblatt!$A$43:$A$65,1,1)=$B11,0,VLOOKUP(WEEKDAY($B11),Datenblatt!$X$46:$Z$52,3,FALSE))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45995</v>
      </c>
      <c r="C12" s="157">
        <f t="shared" si="0"/>
        <v>45995</v>
      </c>
      <c r="D12" s="158">
        <f>IF(VLOOKUP($B12,Datenblatt!$A$43:$A$65,1,1)=$B12,0,VLOOKUP(WEEKDAY($B12),Datenblatt!$X$46:$Z$52,3,FALSE))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45996</v>
      </c>
      <c r="C13" s="157">
        <f t="shared" si="0"/>
        <v>45996</v>
      </c>
      <c r="D13" s="158">
        <f>IF(VLOOKUP($B13,Datenblatt!$A$43:$A$65,1,1)=$B13,0,VLOOKUP(WEEKDAY($B13),Datenblatt!$X$46:$Z$52,3,FALSE))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45997</v>
      </c>
      <c r="C14" s="157">
        <f t="shared" si="0"/>
        <v>45997</v>
      </c>
      <c r="D14" s="158">
        <f>IF(VLOOKUP($B14,Datenblatt!$A$43:$A$65,1,1)=$B14,0,VLOOKUP(WEEKDAY($B14),Datenblatt!$X$46:$Z$52,3,FALSE))</f>
        <v>0</v>
      </c>
      <c r="E14" s="158">
        <f>IF(VLOOKUP($B14,Datenblatt!$A$43:$A$65,1,1)=$B14,0,IF(WEEKDAY($B14)=7,1,IF(WEEKDAY($B14)=1,0,2)))</f>
        <v>1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45998</v>
      </c>
      <c r="C15" s="157">
        <f t="shared" si="0"/>
        <v>45998</v>
      </c>
      <c r="D15" s="158">
        <f>IF(VLOOKUP($B15,Datenblatt!$A$43:$A$65,1,1)=$B15,0,VLOOKUP(WEEKDAY($B15),Datenblatt!$X$46:$Z$52,3,FALSE))</f>
        <v>0</v>
      </c>
      <c r="E15" s="158">
        <f>IF(VLOOKUP($B15,Datenblatt!$A$43:$A$65,1,1)=$B15,0,IF(WEEKDAY($B15)=7,1,IF(WEEKDAY($B15)=1,0,2)))</f>
        <v>0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45999</v>
      </c>
      <c r="C16" s="157">
        <f t="shared" si="0"/>
        <v>45999</v>
      </c>
      <c r="D16" s="158">
        <f>IF(VLOOKUP($B16,Datenblatt!$A$43:$A$65,1,1)=$B16,0,VLOOKUP(WEEKDAY($B16),Datenblatt!$X$46:$Z$52,3,FALSE))</f>
        <v>0</v>
      </c>
      <c r="E16" s="158">
        <f>IF(VLOOKUP($B16,Datenblatt!$A$43:$A$65,1,1)=$B16,0,IF(WEEKDAY($B16)=7,1,IF(WEEKDAY($B16)=1,0,2)))</f>
        <v>0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>Maria Empfängnis</v>
      </c>
      <c r="X16" s="402"/>
      <c r="Y16" s="403"/>
      <c r="AB16" s="171"/>
    </row>
    <row r="17" spans="2:129" ht="12.2" customHeight="1">
      <c r="B17" s="156">
        <f t="shared" si="1"/>
        <v>46000</v>
      </c>
      <c r="C17" s="157">
        <f t="shared" si="0"/>
        <v>46000</v>
      </c>
      <c r="D17" s="158">
        <f>IF(VLOOKUP($B17,Datenblatt!$A$43:$A$65,1,1)=$B17,0,VLOOKUP(WEEKDAY($B17),Datenblatt!$X$46:$Z$52,3,FALSE))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46001</v>
      </c>
      <c r="C18" s="157">
        <f t="shared" si="0"/>
        <v>46001</v>
      </c>
      <c r="D18" s="158">
        <f>IF(VLOOKUP($B18,Datenblatt!$A$43:$A$65,1,1)=$B18,0,VLOOKUP(WEEKDAY($B18),Datenblatt!$X$46:$Z$52,3,FALSE))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46002</v>
      </c>
      <c r="C19" s="157">
        <f t="shared" si="0"/>
        <v>46002</v>
      </c>
      <c r="D19" s="158">
        <f>IF(VLOOKUP($B19,Datenblatt!$A$43:$A$65,1,1)=$B19,0,VLOOKUP(WEEKDAY($B19),Datenblatt!$X$46:$Z$52,3,FALSE))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46003</v>
      </c>
      <c r="C20" s="157">
        <f t="shared" si="0"/>
        <v>46003</v>
      </c>
      <c r="D20" s="158">
        <f>IF(VLOOKUP($B20,Datenblatt!$A$43:$A$65,1,1)=$B20,0,VLOOKUP(WEEKDAY($B20),Datenblatt!$X$46:$Z$52,3,FALSE))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46004</v>
      </c>
      <c r="C21" s="157">
        <f t="shared" si="0"/>
        <v>46004</v>
      </c>
      <c r="D21" s="158">
        <f>IF(VLOOKUP($B21,Datenblatt!$A$43:$A$65,1,1)=$B21,0,VLOOKUP(WEEKDAY($B21),Datenblatt!$X$46:$Z$52,3,FALSE))</f>
        <v>0</v>
      </c>
      <c r="E21" s="158">
        <f>IF(VLOOKUP($B21,Datenblatt!$A$43:$A$65,1,1)=$B21,0,IF(WEEKDAY($B21)=7,1,IF(WEEKDAY($B21)=1,0,2)))</f>
        <v>1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46005</v>
      </c>
      <c r="C22" s="157">
        <f t="shared" si="0"/>
        <v>46005</v>
      </c>
      <c r="D22" s="158">
        <f>IF(VLOOKUP($B22,Datenblatt!$A$43:$A$65,1,1)=$B22,0,VLOOKUP(WEEKDAY($B22),Datenblatt!$X$46:$Z$52,3,FALSE))</f>
        <v>0</v>
      </c>
      <c r="E22" s="158">
        <f>IF(VLOOKUP($B22,Datenblatt!$A$43:$A$65,1,1)=$B22,0,IF(WEEKDAY($B22)=7,1,IF(WEEKDAY($B22)=1,0,2)))</f>
        <v>0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46006</v>
      </c>
      <c r="C23" s="157">
        <f t="shared" si="0"/>
        <v>46006</v>
      </c>
      <c r="D23" s="158">
        <f>IF(VLOOKUP($B23,Datenblatt!$A$43:$A$65,1,1)=$B23,0,VLOOKUP(WEEKDAY($B23),Datenblatt!$X$46:$Z$52,3,FALSE))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46007</v>
      </c>
      <c r="C24" s="157">
        <f t="shared" si="0"/>
        <v>46007</v>
      </c>
      <c r="D24" s="158">
        <f>IF(VLOOKUP($B24,Datenblatt!$A$43:$A$65,1,1)=$B24,0,VLOOKUP(WEEKDAY($B24),Datenblatt!$X$46:$Z$52,3,FALSE))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46008</v>
      </c>
      <c r="C25" s="157">
        <f t="shared" si="0"/>
        <v>46008</v>
      </c>
      <c r="D25" s="158">
        <f>IF(VLOOKUP($B25,Datenblatt!$A$43:$A$65,1,1)=$B25,0,VLOOKUP(WEEKDAY($B25),Datenblatt!$X$46:$Z$52,3,FALSE))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46009</v>
      </c>
      <c r="C26" s="157">
        <f t="shared" si="0"/>
        <v>46009</v>
      </c>
      <c r="D26" s="158">
        <f>IF(VLOOKUP($B26,Datenblatt!$A$43:$A$65,1,1)=$B26,0,VLOOKUP(WEEKDAY($B26),Datenblatt!$X$46:$Z$52,3,FALSE))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46010</v>
      </c>
      <c r="C27" s="157">
        <f t="shared" si="0"/>
        <v>46010</v>
      </c>
      <c r="D27" s="158">
        <f>IF(VLOOKUP($B27,Datenblatt!$A$43:$A$65,1,1)=$B27,0,VLOOKUP(WEEKDAY($B27),Datenblatt!$X$46:$Z$52,3,FALSE))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46011</v>
      </c>
      <c r="C28" s="157">
        <f t="shared" si="0"/>
        <v>46011</v>
      </c>
      <c r="D28" s="158">
        <f>IF(VLOOKUP($B28,Datenblatt!$A$43:$A$65,1,1)=$B28,0,VLOOKUP(WEEKDAY($B28),Datenblatt!$X$46:$Z$52,3,FALSE))</f>
        <v>0</v>
      </c>
      <c r="E28" s="158">
        <f>IF(VLOOKUP($B28,Datenblatt!$A$43:$A$65,1,1)=$B28,0,IF(WEEKDAY($B28)=7,1,IF(WEEKDAY($B28)=1,0,2)))</f>
        <v>1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46012</v>
      </c>
      <c r="C29" s="157">
        <f t="shared" si="0"/>
        <v>46012</v>
      </c>
      <c r="D29" s="158">
        <f>IF(VLOOKUP($B29,Datenblatt!$A$43:$A$65,1,1)=$B29,0,VLOOKUP(WEEKDAY($B29),Datenblatt!$X$46:$Z$52,3,FALSE))</f>
        <v>0</v>
      </c>
      <c r="E29" s="158">
        <f>IF(VLOOKUP($B29,Datenblatt!$A$43:$A$65,1,1)=$B29,0,IF(WEEKDAY($B29)=7,1,IF(WEEKDAY($B29)=1,0,2)))</f>
        <v>0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46013</v>
      </c>
      <c r="C30" s="157">
        <f t="shared" si="0"/>
        <v>46013</v>
      </c>
      <c r="D30" s="158">
        <f>IF(VLOOKUP($B30,Datenblatt!$A$43:$A$65,1,1)=$B30,0,VLOOKUP(WEEKDAY($B30),Datenblatt!$X$46:$Z$52,3,FALSE))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46014</v>
      </c>
      <c r="C31" s="157">
        <f t="shared" si="0"/>
        <v>46014</v>
      </c>
      <c r="D31" s="158">
        <f>IF(VLOOKUP($B31,Datenblatt!$A$43:$A$65,1,1)=$B31,0,VLOOKUP(WEEKDAY($B31),Datenblatt!$X$46:$Z$52,3,FALSE))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46015</v>
      </c>
      <c r="C32" s="157">
        <f t="shared" si="0"/>
        <v>46015</v>
      </c>
      <c r="D32" s="158">
        <f>IF(VLOOKUP($B32,Datenblatt!$A$43:$A$65,1,1)=$B32,0,VLOOKUP(WEEKDAY($B32),Datenblatt!$X$46:$Z$52,3,FALSE))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46016</v>
      </c>
      <c r="C33" s="157">
        <f t="shared" si="0"/>
        <v>46016</v>
      </c>
      <c r="D33" s="158">
        <f>IF(VLOOKUP($B33,Datenblatt!$A$43:$A$65,1,1)=$B33,0,VLOOKUP(WEEKDAY($B33),Datenblatt!$X$46:$Z$52,3,FALSE))</f>
        <v>0</v>
      </c>
      <c r="E33" s="158">
        <f>IF(VLOOKUP($B33,Datenblatt!$A$43:$A$65,1,1)=$B33,0,IF(WEEKDAY($B33)=7,1,IF(WEEKDAY($B33)=1,0,2)))</f>
        <v>0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>Christtag</v>
      </c>
      <c r="X33" s="402"/>
      <c r="Y33" s="403"/>
      <c r="AB33" s="171"/>
    </row>
    <row r="34" spans="2:129" ht="12.2" customHeight="1">
      <c r="B34" s="156">
        <f t="shared" si="1"/>
        <v>46017</v>
      </c>
      <c r="C34" s="157">
        <f t="shared" si="0"/>
        <v>46017</v>
      </c>
      <c r="D34" s="158">
        <f>IF(VLOOKUP($B34,Datenblatt!$A$43:$A$65,1,1)=$B34,0,VLOOKUP(WEEKDAY($B34),Datenblatt!$X$46:$Z$52,3,FALSE))</f>
        <v>0</v>
      </c>
      <c r="E34" s="158">
        <f>IF(VLOOKUP($B34,Datenblatt!$A$43:$A$65,1,1)=$B34,0,IF(WEEKDAY($B34)=7,1,IF(WEEKDAY($B34)=1,0,2)))</f>
        <v>0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>Stephanitag</v>
      </c>
      <c r="X34" s="402"/>
      <c r="Y34" s="403"/>
      <c r="AB34" s="171"/>
    </row>
    <row r="35" spans="2:129" ht="12.2" customHeight="1">
      <c r="B35" s="156">
        <f t="shared" si="1"/>
        <v>46018</v>
      </c>
      <c r="C35" s="157">
        <f t="shared" si="0"/>
        <v>46018</v>
      </c>
      <c r="D35" s="158">
        <f>IF(VLOOKUP($B35,Datenblatt!$A$43:$A$65,1,1)=$B35,0,VLOOKUP(WEEKDAY($B35),Datenblatt!$X$46:$Z$52,3,FALSE))</f>
        <v>0</v>
      </c>
      <c r="E35" s="158">
        <f>IF(VLOOKUP($B35,Datenblatt!$A$43:$A$65,1,1)=$B35,0,IF(WEEKDAY($B35)=7,1,IF(WEEKDAY($B35)=1,0,2)))</f>
        <v>1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46019</v>
      </c>
      <c r="C36" s="157">
        <f t="shared" si="0"/>
        <v>46019</v>
      </c>
      <c r="D36" s="158">
        <f>IF(VLOOKUP($B36,Datenblatt!$A$43:$A$65,1,1)=$B36,0,VLOOKUP(WEEKDAY($B36),Datenblatt!$X$46:$Z$52,3,FALSE))</f>
        <v>0</v>
      </c>
      <c r="E36" s="158">
        <f>IF(VLOOKUP($B36,Datenblatt!$A$43:$A$65,1,1)=$B36,0,IF(WEEKDAY($B36)=7,1,IF(WEEKDAY($B36)=1,0,2)))</f>
        <v>0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46020</v>
      </c>
      <c r="C37" s="157">
        <f t="shared" si="0"/>
        <v>46020</v>
      </c>
      <c r="D37" s="158">
        <f>IF(VLOOKUP($B37,Datenblatt!$A$43:$A$65,1,1)=$B37,0,VLOOKUP(WEEKDAY($B37),Datenblatt!$X$46:$Z$52,3,FALSE))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46021</v>
      </c>
      <c r="C38" s="157">
        <f t="shared" si="0"/>
        <v>46021</v>
      </c>
      <c r="D38" s="158">
        <f>IF(VLOOKUP($B38,Datenblatt!$A$43:$A$65,1,1)=$B38,0,VLOOKUP(WEEKDAY($B38),Datenblatt!$X$46:$Z$52,3,FALSE))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46022</v>
      </c>
      <c r="C39" s="157">
        <f t="shared" si="0"/>
        <v>46022</v>
      </c>
      <c r="D39" s="158">
        <f>IF(VLOOKUP($B39,Datenblatt!$A$43:$A$65,1,1)=$B39,0,VLOOKUP(WEEKDAY($B39),Datenblatt!$X$46:$Z$52,3,FALSE))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Dezember "&amp;Datenblatt!$F$5&amp;":"</f>
        <v>Sollstunden für Dezember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Dezember "&amp;Datenblatt!F5&amp;":   ","Zeitdefizit im Monat Dezember "&amp;Datenblatt!F5&amp;":   ")</f>
        <v xml:space="preserve">Zeitdefizit im Monat Dezember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November "&amp;Datenblatt!F5-1&amp;":   ","  - Zeitdefizit aus November "&amp;Datenblatt!F5&amp;":   ")</f>
        <v xml:space="preserve">  - Zeitdefizit aus November 2025:   </v>
      </c>
      <c r="T43" s="410">
        <f>Nov!T44</f>
        <v>-1840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Jänner "&amp;Datenblatt!F5+1</f>
        <v>Übertrag für Jänner 2026</v>
      </c>
      <c r="R44" s="196"/>
      <c r="S44" s="196"/>
      <c r="T44" s="411">
        <f>T43+T42-I42</f>
        <v>-2000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10" priority="1" stopIfTrue="1" operator="equal">
      <formula>MATCH($E15,0)</formula>
    </cfRule>
    <cfRule type="expression" dxfId="9" priority="2" stopIfTrue="1">
      <formula>"WOCHENTAG($B8)=1"</formula>
    </cfRule>
    <cfRule type="expression" dxfId="8" priority="3" stopIfTrue="1">
      <formula>"WOCHENTAG($B8)=7"</formula>
    </cfRule>
  </conditionalFormatting>
  <conditionalFormatting sqref="B9:C39">
    <cfRule type="expression" dxfId="7" priority="8" stopIfTrue="1">
      <formula>($E9=1)</formula>
    </cfRule>
  </conditionalFormatting>
  <conditionalFormatting sqref="B9:U39 W9:W39">
    <cfRule type="expression" dxfId="6" priority="4" stopIfTrue="1">
      <formula>($E9=0)</formula>
    </cfRule>
    <cfRule type="expression" dxfId="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60"/>
  <sheetViews>
    <sheetView showGridLines="0" tabSelected="1" topLeftCell="A6" workbookViewId="0">
      <selection activeCell="B6" sqref="B6"/>
    </sheetView>
  </sheetViews>
  <sheetFormatPr baseColWidth="10" defaultColWidth="11.42578125" defaultRowHeight="12.75"/>
  <cols>
    <col min="1" max="1" width="0.85546875" customWidth="1"/>
    <col min="2" max="2" width="9.42578125" customWidth="1"/>
    <col min="3" max="4" width="5.85546875" customWidth="1"/>
    <col min="5" max="5" width="22.85546875" customWidth="1"/>
    <col min="6" max="6" width="5.28515625" customWidth="1"/>
    <col min="7" max="7" width="18" customWidth="1"/>
    <col min="8" max="8" width="23.85546875" customWidth="1"/>
    <col min="9" max="9" width="6.85546875" customWidth="1"/>
    <col min="10" max="10" width="5.28515625" style="94" customWidth="1"/>
    <col min="11" max="11" width="0.5703125" hidden="1" customWidth="1"/>
    <col min="12" max="12" width="8.140625" customWidth="1"/>
    <col min="13" max="13" width="7.42578125" customWidth="1"/>
    <col min="14" max="14" width="9.85546875" customWidth="1"/>
    <col min="15" max="15" width="11" customWidth="1"/>
  </cols>
  <sheetData>
    <row r="1" spans="2:15" ht="18">
      <c r="B1" s="209" t="str">
        <f>"ANTRAG AUF REISEKOSTENERSATZ von "&amp;Datenblatt!D7</f>
        <v>ANTRAG AUF REISEKOSTENERSATZ von Vorname Familienname</v>
      </c>
      <c r="G1" s="71"/>
      <c r="H1" s="71"/>
      <c r="L1" s="42"/>
    </row>
    <row r="2" spans="2:15" ht="24.95" customHeight="1">
      <c r="B2" s="210" t="str">
        <f>"Dienststelle: "&amp;Datenblatt!$D$8</f>
        <v>Dienststelle: Kirchenmusiker</v>
      </c>
      <c r="G2" s="71"/>
      <c r="H2" s="71"/>
      <c r="I2" s="447" t="s">
        <v>0</v>
      </c>
      <c r="J2" s="447"/>
      <c r="K2" s="447"/>
      <c r="L2" s="447"/>
      <c r="M2" s="447"/>
      <c r="N2" s="447"/>
    </row>
    <row r="3" spans="2:15" ht="9.9499999999999993" customHeight="1"/>
    <row r="4" spans="2:15" s="2" customFormat="1" ht="12.75" customHeight="1">
      <c r="B4" s="211" t="s">
        <v>120</v>
      </c>
      <c r="C4" s="433" t="s">
        <v>121</v>
      </c>
      <c r="D4" s="433"/>
      <c r="E4" s="212" t="s">
        <v>122</v>
      </c>
      <c r="F4" s="433" t="s">
        <v>123</v>
      </c>
      <c r="G4" s="433"/>
      <c r="H4" s="433"/>
      <c r="I4" s="213" t="s">
        <v>124</v>
      </c>
      <c r="J4" s="214" t="s">
        <v>125</v>
      </c>
      <c r="K4" s="215"/>
      <c r="L4" s="434" t="s">
        <v>126</v>
      </c>
      <c r="M4" s="434"/>
      <c r="N4" s="216" t="s">
        <v>127</v>
      </c>
      <c r="O4" s="216" t="s">
        <v>128</v>
      </c>
    </row>
    <row r="5" spans="2:15" s="2" customFormat="1" ht="13.5" customHeight="1">
      <c r="B5" s="217" t="s">
        <v>129</v>
      </c>
      <c r="C5" s="218" t="s">
        <v>130</v>
      </c>
      <c r="D5" s="219" t="s">
        <v>131</v>
      </c>
      <c r="E5" s="220" t="s">
        <v>132</v>
      </c>
      <c r="F5" s="430" t="s">
        <v>133</v>
      </c>
      <c r="G5" s="430"/>
      <c r="H5" s="430"/>
      <c r="I5" s="221" t="s">
        <v>134</v>
      </c>
      <c r="J5" s="222" t="s">
        <v>135</v>
      </c>
      <c r="K5" s="223"/>
      <c r="L5" s="224" t="s">
        <v>136</v>
      </c>
      <c r="M5" s="225" t="s">
        <v>137</v>
      </c>
      <c r="N5" s="226" t="s">
        <v>138</v>
      </c>
      <c r="O5" s="226" t="s">
        <v>139</v>
      </c>
    </row>
    <row r="6" spans="2:15" s="2" customFormat="1" ht="15.4" customHeight="1">
      <c r="B6" s="227"/>
      <c r="C6" s="228"/>
      <c r="D6" s="229"/>
      <c r="E6" s="230"/>
      <c r="F6" s="446"/>
      <c r="G6" s="446"/>
      <c r="H6" s="446"/>
      <c r="I6" s="231"/>
      <c r="J6" s="232"/>
      <c r="K6" s="64" t="b">
        <f t="shared" ref="K6:K24" si="0">IF(J6&gt;0,L6*(J6*$M$31))</f>
        <v>0</v>
      </c>
      <c r="L6" s="233"/>
      <c r="M6" s="234"/>
      <c r="N6" s="235"/>
      <c r="O6" s="235"/>
    </row>
    <row r="7" spans="2:15" s="2" customFormat="1" ht="15.4" customHeight="1">
      <c r="B7" s="236"/>
      <c r="C7" s="237"/>
      <c r="D7" s="238"/>
      <c r="E7" s="239"/>
      <c r="F7" s="442"/>
      <c r="G7" s="442"/>
      <c r="H7" s="442"/>
      <c r="I7" s="240"/>
      <c r="J7" s="241"/>
      <c r="K7" s="64" t="b">
        <f t="shared" si="0"/>
        <v>0</v>
      </c>
      <c r="L7" s="242"/>
      <c r="M7" s="243"/>
      <c r="N7" s="244"/>
      <c r="O7" s="244"/>
    </row>
    <row r="8" spans="2:15" s="2" customFormat="1" ht="15.4" customHeight="1">
      <c r="B8" s="245"/>
      <c r="C8" s="246"/>
      <c r="D8" s="247"/>
      <c r="E8" s="248"/>
      <c r="F8" s="442"/>
      <c r="G8" s="442"/>
      <c r="H8" s="442"/>
      <c r="I8" s="249"/>
      <c r="J8" s="250"/>
      <c r="K8" s="64" t="b">
        <f t="shared" si="0"/>
        <v>0</v>
      </c>
      <c r="L8" s="251"/>
      <c r="M8" s="252"/>
      <c r="N8" s="253"/>
      <c r="O8" s="253"/>
    </row>
    <row r="9" spans="2:15" s="2" customFormat="1" ht="15.4" customHeight="1">
      <c r="B9" s="245"/>
      <c r="C9" s="246"/>
      <c r="D9" s="247"/>
      <c r="E9" s="248"/>
      <c r="F9" s="442"/>
      <c r="G9" s="442"/>
      <c r="H9" s="442"/>
      <c r="I9" s="249"/>
      <c r="J9" s="250"/>
      <c r="K9" s="64" t="b">
        <f t="shared" si="0"/>
        <v>0</v>
      </c>
      <c r="L9" s="251"/>
      <c r="M9" s="252"/>
      <c r="N9" s="253"/>
      <c r="O9" s="253"/>
    </row>
    <row r="10" spans="2:15" s="2" customFormat="1" ht="15.4" customHeight="1">
      <c r="B10" s="245"/>
      <c r="C10" s="246"/>
      <c r="D10" s="247"/>
      <c r="E10" s="248"/>
      <c r="F10" s="442"/>
      <c r="G10" s="442"/>
      <c r="H10" s="442"/>
      <c r="I10" s="249"/>
      <c r="J10" s="250"/>
      <c r="K10" s="64" t="b">
        <f t="shared" si="0"/>
        <v>0</v>
      </c>
      <c r="L10" s="251"/>
      <c r="M10" s="252"/>
      <c r="N10" s="253"/>
      <c r="O10" s="253"/>
    </row>
    <row r="11" spans="2:15" s="2" customFormat="1" ht="15.4" customHeight="1">
      <c r="B11" s="245"/>
      <c r="C11" s="246"/>
      <c r="D11" s="247"/>
      <c r="E11" s="248"/>
      <c r="F11" s="442"/>
      <c r="G11" s="442"/>
      <c r="H11" s="442"/>
      <c r="I11" s="249"/>
      <c r="J11" s="250"/>
      <c r="K11" s="64" t="b">
        <f t="shared" si="0"/>
        <v>0</v>
      </c>
      <c r="L11" s="251"/>
      <c r="M11" s="252"/>
      <c r="N11" s="253"/>
      <c r="O11" s="253"/>
    </row>
    <row r="12" spans="2:15" s="2" customFormat="1" ht="15.4" customHeight="1">
      <c r="B12" s="245"/>
      <c r="C12" s="246"/>
      <c r="D12" s="247"/>
      <c r="E12" s="248"/>
      <c r="F12" s="442"/>
      <c r="G12" s="442"/>
      <c r="H12" s="442"/>
      <c r="I12" s="249"/>
      <c r="J12" s="250"/>
      <c r="K12" s="64" t="b">
        <f t="shared" si="0"/>
        <v>0</v>
      </c>
      <c r="L12" s="251"/>
      <c r="M12" s="252"/>
      <c r="N12" s="253"/>
      <c r="O12" s="253"/>
    </row>
    <row r="13" spans="2:15" s="2" customFormat="1" ht="15.4" customHeight="1">
      <c r="B13" s="245"/>
      <c r="C13" s="246"/>
      <c r="D13" s="247"/>
      <c r="E13" s="248"/>
      <c r="F13" s="442"/>
      <c r="G13" s="442"/>
      <c r="H13" s="442"/>
      <c r="I13" s="249"/>
      <c r="J13" s="250"/>
      <c r="K13" s="64" t="b">
        <f t="shared" si="0"/>
        <v>0</v>
      </c>
      <c r="L13" s="251"/>
      <c r="M13" s="252"/>
      <c r="N13" s="253"/>
      <c r="O13" s="253"/>
    </row>
    <row r="14" spans="2:15" s="2" customFormat="1" ht="15.4" customHeight="1">
      <c r="B14" s="245"/>
      <c r="C14" s="246"/>
      <c r="D14" s="247"/>
      <c r="E14" s="248"/>
      <c r="F14" s="442"/>
      <c r="G14" s="442"/>
      <c r="H14" s="442"/>
      <c r="I14" s="249"/>
      <c r="J14" s="250"/>
      <c r="K14" s="64" t="b">
        <f t="shared" si="0"/>
        <v>0</v>
      </c>
      <c r="L14" s="251"/>
      <c r="M14" s="252"/>
      <c r="N14" s="253"/>
      <c r="O14" s="253"/>
    </row>
    <row r="15" spans="2:15" s="2" customFormat="1" ht="15.4" customHeight="1">
      <c r="B15" s="245"/>
      <c r="C15" s="246"/>
      <c r="D15" s="247"/>
      <c r="E15" s="248"/>
      <c r="F15" s="442"/>
      <c r="G15" s="442"/>
      <c r="H15" s="442"/>
      <c r="I15" s="249"/>
      <c r="J15" s="250"/>
      <c r="K15" s="64" t="b">
        <f t="shared" si="0"/>
        <v>0</v>
      </c>
      <c r="L15" s="251"/>
      <c r="M15" s="252"/>
      <c r="N15" s="253"/>
      <c r="O15" s="253"/>
    </row>
    <row r="16" spans="2:15" s="2" customFormat="1" ht="15.4" customHeight="1">
      <c r="B16" s="245"/>
      <c r="C16" s="246"/>
      <c r="D16" s="247"/>
      <c r="E16" s="248"/>
      <c r="F16" s="442"/>
      <c r="G16" s="442"/>
      <c r="H16" s="442"/>
      <c r="I16" s="249"/>
      <c r="J16" s="250"/>
      <c r="K16" s="64" t="b">
        <f t="shared" si="0"/>
        <v>0</v>
      </c>
      <c r="L16" s="251"/>
      <c r="M16" s="252"/>
      <c r="N16" s="253"/>
      <c r="O16" s="253"/>
    </row>
    <row r="17" spans="2:15" s="2" customFormat="1" ht="15.4" customHeight="1">
      <c r="B17" s="245"/>
      <c r="C17" s="246"/>
      <c r="D17" s="247"/>
      <c r="E17" s="248"/>
      <c r="F17" s="442"/>
      <c r="G17" s="442"/>
      <c r="H17" s="442"/>
      <c r="I17" s="249"/>
      <c r="J17" s="250"/>
      <c r="K17" s="64" t="b">
        <f t="shared" si="0"/>
        <v>0</v>
      </c>
      <c r="L17" s="251"/>
      <c r="M17" s="252"/>
      <c r="N17" s="253"/>
      <c r="O17" s="253"/>
    </row>
    <row r="18" spans="2:15" s="2" customFormat="1" ht="15.4" customHeight="1">
      <c r="B18" s="245"/>
      <c r="C18" s="246"/>
      <c r="D18" s="247"/>
      <c r="E18" s="248"/>
      <c r="F18" s="442"/>
      <c r="G18" s="442"/>
      <c r="H18" s="442"/>
      <c r="I18" s="249"/>
      <c r="J18" s="250"/>
      <c r="K18" s="64" t="b">
        <f t="shared" si="0"/>
        <v>0</v>
      </c>
      <c r="L18" s="251"/>
      <c r="M18" s="252"/>
      <c r="N18" s="253"/>
      <c r="O18" s="253"/>
    </row>
    <row r="19" spans="2:15" s="2" customFormat="1" ht="15.4" customHeight="1">
      <c r="B19" s="245"/>
      <c r="C19" s="246"/>
      <c r="D19" s="247"/>
      <c r="E19" s="248"/>
      <c r="F19" s="442"/>
      <c r="G19" s="442"/>
      <c r="H19" s="442"/>
      <c r="I19" s="249"/>
      <c r="J19" s="250"/>
      <c r="K19" s="64" t="b">
        <f t="shared" si="0"/>
        <v>0</v>
      </c>
      <c r="L19" s="251"/>
      <c r="M19" s="252"/>
      <c r="N19" s="253"/>
      <c r="O19" s="253"/>
    </row>
    <row r="20" spans="2:15" s="2" customFormat="1" ht="15.4" customHeight="1">
      <c r="B20" s="245"/>
      <c r="C20" s="246"/>
      <c r="D20" s="247"/>
      <c r="E20" s="248"/>
      <c r="F20" s="442"/>
      <c r="G20" s="442"/>
      <c r="H20" s="442"/>
      <c r="I20" s="249"/>
      <c r="J20" s="250"/>
      <c r="K20" s="64" t="b">
        <f t="shared" si="0"/>
        <v>0</v>
      </c>
      <c r="L20" s="251"/>
      <c r="M20" s="252"/>
      <c r="N20" s="253"/>
      <c r="O20" s="253"/>
    </row>
    <row r="21" spans="2:15" s="2" customFormat="1" ht="15.4" customHeight="1">
      <c r="B21" s="245"/>
      <c r="C21" s="246"/>
      <c r="D21" s="247"/>
      <c r="E21" s="248"/>
      <c r="F21" s="442"/>
      <c r="G21" s="442"/>
      <c r="H21" s="442"/>
      <c r="I21" s="249"/>
      <c r="J21" s="250"/>
      <c r="K21" s="64" t="b">
        <f t="shared" si="0"/>
        <v>0</v>
      </c>
      <c r="L21" s="251"/>
      <c r="M21" s="252"/>
      <c r="N21" s="253"/>
      <c r="O21" s="253"/>
    </row>
    <row r="22" spans="2:15" s="2" customFormat="1" ht="15.4" customHeight="1">
      <c r="B22" s="245"/>
      <c r="C22" s="246"/>
      <c r="D22" s="247"/>
      <c r="E22" s="248"/>
      <c r="F22" s="442"/>
      <c r="G22" s="442"/>
      <c r="H22" s="442"/>
      <c r="I22" s="249"/>
      <c r="J22" s="250"/>
      <c r="K22" s="64" t="b">
        <f t="shared" si="0"/>
        <v>0</v>
      </c>
      <c r="L22" s="251"/>
      <c r="M22" s="252"/>
      <c r="N22" s="253"/>
      <c r="O22" s="253"/>
    </row>
    <row r="23" spans="2:15" s="2" customFormat="1" ht="15.4" customHeight="1">
      <c r="B23" s="245"/>
      <c r="C23" s="246"/>
      <c r="D23" s="247"/>
      <c r="E23" s="248"/>
      <c r="F23" s="442"/>
      <c r="G23" s="442"/>
      <c r="H23" s="442"/>
      <c r="I23" s="249"/>
      <c r="J23" s="250"/>
      <c r="K23" s="64" t="b">
        <f t="shared" si="0"/>
        <v>0</v>
      </c>
      <c r="L23" s="251"/>
      <c r="M23" s="252"/>
      <c r="N23" s="253"/>
      <c r="O23" s="253"/>
    </row>
    <row r="24" spans="2:15" s="2" customFormat="1" ht="15.4" customHeight="1">
      <c r="B24" s="254"/>
      <c r="C24" s="255"/>
      <c r="D24" s="256"/>
      <c r="E24" s="257"/>
      <c r="F24" s="443"/>
      <c r="G24" s="443"/>
      <c r="H24" s="443"/>
      <c r="I24" s="258"/>
      <c r="J24" s="259"/>
      <c r="K24" s="64" t="b">
        <f t="shared" si="0"/>
        <v>0</v>
      </c>
      <c r="L24" s="260"/>
      <c r="M24" s="261"/>
      <c r="N24" s="262"/>
      <c r="O24" s="262"/>
    </row>
    <row r="25" spans="2:15" s="2" customFormat="1" ht="18" customHeight="1">
      <c r="B25" s="2" t="s">
        <v>140</v>
      </c>
      <c r="J25" s="66"/>
      <c r="K25" s="263">
        <f>SUM(K6:K24)</f>
        <v>0</v>
      </c>
      <c r="L25" s="264">
        <f>SUM(L6:L24)</f>
        <v>0</v>
      </c>
      <c r="M25" s="265">
        <f>SUM(M6:M24)</f>
        <v>0</v>
      </c>
      <c r="N25" s="266">
        <f>SUM(N6:N24)</f>
        <v>0</v>
      </c>
      <c r="O25" s="266">
        <f>SUM(O6:O24)</f>
        <v>0</v>
      </c>
    </row>
    <row r="26" spans="2:15" s="2" customFormat="1" ht="14.1" customHeight="1">
      <c r="J26" s="66"/>
    </row>
    <row r="27" spans="2:15" s="2" customFormat="1" ht="14.1" customHeight="1">
      <c r="G27" s="444" t="s">
        <v>141</v>
      </c>
      <c r="H27" s="444"/>
      <c r="I27" s="267"/>
      <c r="J27" s="268"/>
      <c r="K27" s="269"/>
      <c r="L27" s="270"/>
      <c r="M27" s="271" t="s">
        <v>142</v>
      </c>
      <c r="N27" s="272"/>
      <c r="O27" s="273" t="s">
        <v>143</v>
      </c>
    </row>
    <row r="28" spans="2:15" s="2" customFormat="1" ht="14.1" customHeight="1">
      <c r="G28" s="274" t="s">
        <v>144</v>
      </c>
      <c r="H28" s="274"/>
      <c r="I28" s="275"/>
      <c r="J28" s="276"/>
      <c r="K28" s="275"/>
      <c r="L28" s="275"/>
      <c r="M28" s="277">
        <f>N25</f>
        <v>0</v>
      </c>
      <c r="N28" s="445" t="str">
        <f>IF((M28=0),"",M28)</f>
        <v/>
      </c>
      <c r="O28" s="445"/>
    </row>
    <row r="29" spans="2:15" s="2" customFormat="1" ht="14.1" customHeight="1">
      <c r="B29" s="278">
        <f ca="1">TODAY()</f>
        <v>45674</v>
      </c>
      <c r="C29" s="279"/>
      <c r="D29" s="279"/>
      <c r="E29" s="280"/>
      <c r="F29" s="66"/>
      <c r="G29" s="435" t="s">
        <v>145</v>
      </c>
      <c r="H29" s="435"/>
      <c r="I29" s="435"/>
      <c r="J29" s="436">
        <f>L25</f>
        <v>0</v>
      </c>
      <c r="K29" s="436"/>
      <c r="L29" s="436"/>
      <c r="M29" s="281">
        <v>0.5</v>
      </c>
      <c r="N29" s="437" t="str">
        <f>IF((J29*M29=0),"",J29*M29)</f>
        <v/>
      </c>
      <c r="O29" s="437"/>
    </row>
    <row r="30" spans="2:15" s="2" customFormat="1" ht="14.1" customHeight="1">
      <c r="B30" s="278"/>
      <c r="C30" s="440" t="str">
        <f>Datenblatt!D7</f>
        <v>Vorname Familienname</v>
      </c>
      <c r="D30" s="440"/>
      <c r="E30" s="440"/>
      <c r="F30" s="66"/>
      <c r="G30" s="441" t="s">
        <v>146</v>
      </c>
      <c r="H30" s="441"/>
      <c r="I30" s="441"/>
      <c r="J30" s="436">
        <f>M25</f>
        <v>0</v>
      </c>
      <c r="K30" s="436"/>
      <c r="L30" s="436"/>
      <c r="M30" s="281">
        <v>0.5</v>
      </c>
      <c r="N30" s="437" t="str">
        <f>IF((J30*M30=0),"",(M30*J30))</f>
        <v/>
      </c>
      <c r="O30" s="437"/>
    </row>
    <row r="31" spans="2:15" s="2" customFormat="1" ht="14.1" customHeight="1">
      <c r="F31" s="282"/>
      <c r="G31" s="435" t="s">
        <v>147</v>
      </c>
      <c r="H31" s="435"/>
      <c r="I31" s="435"/>
      <c r="J31" s="436"/>
      <c r="K31" s="436"/>
      <c r="L31" s="436"/>
      <c r="M31" s="281">
        <v>0.15</v>
      </c>
      <c r="N31" s="437" t="str">
        <f>IF((K25=0),"",K25)</f>
        <v/>
      </c>
      <c r="O31" s="437"/>
    </row>
    <row r="32" spans="2:15" s="2" customFormat="1" ht="14.1" customHeight="1">
      <c r="G32" s="438" t="s">
        <v>148</v>
      </c>
      <c r="H32" s="438"/>
      <c r="I32" s="438"/>
      <c r="J32" s="439"/>
      <c r="K32" s="439"/>
      <c r="L32" s="439"/>
      <c r="M32" s="283">
        <f>O25</f>
        <v>0</v>
      </c>
      <c r="N32" s="437" t="str">
        <f>IF((M32=0),"",M32)</f>
        <v/>
      </c>
      <c r="O32" s="437"/>
    </row>
    <row r="33" spans="2:17" s="2" customFormat="1" ht="18" customHeight="1">
      <c r="H33" s="284"/>
      <c r="J33" s="285" t="s">
        <v>149</v>
      </c>
      <c r="K33" s="285"/>
      <c r="L33" s="285"/>
      <c r="M33" s="285"/>
      <c r="N33" s="432">
        <f>SUM(N28:N32)</f>
        <v>0</v>
      </c>
      <c r="O33" s="432"/>
    </row>
    <row r="34" spans="2:17" s="2" customFormat="1" ht="14.1" customHeight="1">
      <c r="B34" s="279"/>
      <c r="C34" s="279"/>
      <c r="D34" s="279"/>
      <c r="E34" s="279"/>
      <c r="G34" s="2" t="s">
        <v>150</v>
      </c>
      <c r="H34"/>
      <c r="I34"/>
      <c r="J34" s="94"/>
      <c r="K34"/>
      <c r="L34"/>
      <c r="M34"/>
      <c r="N34"/>
      <c r="O34"/>
      <c r="P34"/>
      <c r="Q34"/>
    </row>
    <row r="35" spans="2:17">
      <c r="B35" s="388" t="str">
        <f>"Unm. Vorgesetzter: "&amp;Datenblatt!D39</f>
        <v>Unm. Vorgesetzter: Name des Vorgesetzten</v>
      </c>
      <c r="C35" s="388"/>
      <c r="D35" s="388"/>
      <c r="E35" s="388"/>
      <c r="F35" s="2"/>
      <c r="G35" s="2" t="s">
        <v>151</v>
      </c>
      <c r="H35" s="286"/>
    </row>
    <row r="41" spans="2:17">
      <c r="B41" s="287" t="s">
        <v>152</v>
      </c>
      <c r="C41" s="287"/>
      <c r="D41" s="287"/>
      <c r="E41" s="287"/>
    </row>
    <row r="43" spans="2:17">
      <c r="B43" s="211" t="s">
        <v>120</v>
      </c>
      <c r="C43" s="433" t="s">
        <v>121</v>
      </c>
      <c r="D43" s="433"/>
      <c r="E43" s="212" t="s">
        <v>122</v>
      </c>
      <c r="F43" s="433" t="s">
        <v>123</v>
      </c>
      <c r="G43" s="433"/>
      <c r="H43" s="433"/>
      <c r="I43" s="213" t="s">
        <v>124</v>
      </c>
      <c r="J43" s="214" t="s">
        <v>125</v>
      </c>
      <c r="K43" s="215"/>
      <c r="L43" s="434" t="s">
        <v>126</v>
      </c>
      <c r="M43" s="434"/>
      <c r="N43" s="216" t="s">
        <v>127</v>
      </c>
      <c r="O43" s="216" t="s">
        <v>128</v>
      </c>
    </row>
    <row r="44" spans="2:17">
      <c r="B44" s="217" t="s">
        <v>129</v>
      </c>
      <c r="C44" s="218" t="s">
        <v>130</v>
      </c>
      <c r="D44" s="219" t="s">
        <v>131</v>
      </c>
      <c r="E44" s="220" t="s">
        <v>132</v>
      </c>
      <c r="F44" s="430" t="s">
        <v>133</v>
      </c>
      <c r="G44" s="430"/>
      <c r="H44" s="430"/>
      <c r="I44" s="221" t="s">
        <v>134</v>
      </c>
      <c r="J44" s="222" t="s">
        <v>135</v>
      </c>
      <c r="K44" s="223"/>
      <c r="L44" s="224" t="s">
        <v>136</v>
      </c>
      <c r="M44" s="225" t="s">
        <v>137</v>
      </c>
      <c r="N44" s="226" t="s">
        <v>138</v>
      </c>
      <c r="O44" s="226" t="s">
        <v>139</v>
      </c>
    </row>
    <row r="45" spans="2:17">
      <c r="B45" s="288" t="s">
        <v>90</v>
      </c>
      <c r="C45" s="289">
        <v>8</v>
      </c>
      <c r="D45" s="290">
        <v>16.5</v>
      </c>
      <c r="E45" s="291" t="s">
        <v>153</v>
      </c>
      <c r="F45" s="431" t="s">
        <v>154</v>
      </c>
      <c r="G45" s="431"/>
      <c r="H45" s="431"/>
      <c r="I45" s="292">
        <v>236</v>
      </c>
      <c r="J45" s="293">
        <v>1</v>
      </c>
      <c r="K45" s="64">
        <f>IF(J45&gt;0,L45*(J45*$M$31))</f>
        <v>9.75</v>
      </c>
      <c r="L45" s="294">
        <v>65</v>
      </c>
      <c r="M45" s="295"/>
      <c r="N45" s="296"/>
      <c r="O45" s="296"/>
    </row>
    <row r="47" spans="2:17">
      <c r="B47" s="297" t="s">
        <v>155</v>
      </c>
      <c r="C47" s="297"/>
      <c r="D47" s="297"/>
      <c r="E47" s="297" t="s">
        <v>156</v>
      </c>
      <c r="F47" s="297"/>
      <c r="G47" s="297"/>
      <c r="H47" s="297"/>
      <c r="I47" s="297"/>
      <c r="J47" s="298"/>
      <c r="K47" s="297"/>
      <c r="L47" s="297"/>
      <c r="M47" s="297"/>
      <c r="N47" s="297"/>
      <c r="O47" s="297"/>
    </row>
    <row r="48" spans="2:17" ht="20.100000000000001" customHeight="1">
      <c r="B48" s="297" t="s">
        <v>157</v>
      </c>
      <c r="C48" s="297"/>
      <c r="D48" s="297"/>
      <c r="E48" s="297" t="s">
        <v>158</v>
      </c>
      <c r="F48" s="297"/>
      <c r="G48" s="297"/>
      <c r="H48" s="297"/>
      <c r="I48" s="297"/>
      <c r="J48" s="298"/>
      <c r="K48" s="297"/>
      <c r="L48" s="297"/>
      <c r="M48" s="297"/>
      <c r="N48" s="297"/>
      <c r="O48" s="297"/>
    </row>
    <row r="49" spans="2:15" ht="20.100000000000001" customHeight="1">
      <c r="B49" s="297" t="s">
        <v>159</v>
      </c>
      <c r="C49" s="297"/>
      <c r="D49" s="297"/>
      <c r="E49" s="297" t="s">
        <v>160</v>
      </c>
      <c r="F49" s="297"/>
      <c r="G49" s="297"/>
      <c r="H49" s="297"/>
      <c r="I49" s="297"/>
      <c r="J49" s="298"/>
      <c r="K49" s="297"/>
      <c r="L49" s="297"/>
      <c r="M49" s="297"/>
      <c r="N49" s="297"/>
      <c r="O49" s="297"/>
    </row>
    <row r="50" spans="2:15" ht="12.75" customHeight="1">
      <c r="B50" s="297"/>
      <c r="C50" s="297"/>
      <c r="D50" s="297"/>
      <c r="E50" s="297" t="s">
        <v>161</v>
      </c>
      <c r="F50" s="297"/>
      <c r="G50" s="297"/>
      <c r="H50" s="297"/>
      <c r="I50" s="297"/>
      <c r="J50" s="298"/>
      <c r="K50" s="297"/>
      <c r="L50" s="297"/>
      <c r="M50" s="297"/>
      <c r="N50" s="297"/>
      <c r="O50" s="297"/>
    </row>
    <row r="51" spans="2:15">
      <c r="B51" s="297"/>
      <c r="C51" s="297"/>
      <c r="D51" s="297"/>
      <c r="E51" s="297" t="s">
        <v>162</v>
      </c>
      <c r="F51" s="297"/>
      <c r="G51" s="297"/>
      <c r="H51" s="297"/>
      <c r="I51" s="297"/>
      <c r="J51" s="298"/>
      <c r="K51" s="297"/>
      <c r="L51" s="297"/>
      <c r="M51" s="297"/>
      <c r="N51" s="297"/>
      <c r="O51" s="297"/>
    </row>
    <row r="52" spans="2:15">
      <c r="B52" s="297"/>
      <c r="C52" s="297"/>
      <c r="D52" s="297"/>
      <c r="E52" s="297" t="s">
        <v>163</v>
      </c>
      <c r="F52" s="297"/>
      <c r="G52" s="297"/>
      <c r="H52" s="297"/>
      <c r="I52" s="297"/>
      <c r="J52" s="298"/>
      <c r="K52" s="297"/>
      <c r="L52" s="297"/>
      <c r="M52" s="297"/>
      <c r="N52" s="297"/>
      <c r="O52" s="297"/>
    </row>
    <row r="53" spans="2:15">
      <c r="B53" s="297" t="s">
        <v>128</v>
      </c>
      <c r="C53" s="297"/>
      <c r="D53" s="297"/>
      <c r="E53" s="297"/>
      <c r="F53" s="297"/>
      <c r="G53" s="297"/>
      <c r="H53" s="297"/>
      <c r="I53" s="297"/>
      <c r="J53" s="298"/>
      <c r="K53" s="297"/>
      <c r="L53" s="297"/>
      <c r="M53" s="297"/>
      <c r="N53" s="297"/>
      <c r="O53" s="297"/>
    </row>
    <row r="54" spans="2:15">
      <c r="B54" s="297" t="s">
        <v>164</v>
      </c>
      <c r="C54" s="297"/>
      <c r="D54" s="297"/>
      <c r="E54" s="297" t="s">
        <v>165</v>
      </c>
      <c r="F54" s="297"/>
      <c r="G54" s="297"/>
      <c r="H54" s="297"/>
      <c r="I54" s="297"/>
      <c r="J54" s="298"/>
      <c r="K54" s="297"/>
      <c r="L54" s="297"/>
      <c r="M54" s="297"/>
      <c r="N54" s="297"/>
      <c r="O54" s="297"/>
    </row>
    <row r="55" spans="2:15">
      <c r="B55" s="297"/>
      <c r="C55" s="297"/>
      <c r="D55" s="297"/>
      <c r="E55" s="297"/>
      <c r="F55" s="297"/>
      <c r="G55" s="297"/>
      <c r="H55" s="297"/>
      <c r="I55" s="297"/>
      <c r="J55" s="298"/>
      <c r="K55" s="297"/>
      <c r="L55" s="297"/>
      <c r="M55" s="297"/>
      <c r="N55" s="297"/>
      <c r="O55" s="297"/>
    </row>
    <row r="56" spans="2:15">
      <c r="B56" s="297"/>
      <c r="C56" s="297"/>
      <c r="D56" s="297"/>
      <c r="E56" s="297"/>
      <c r="F56" s="297"/>
      <c r="G56" s="297"/>
      <c r="H56" s="297"/>
      <c r="I56" s="297"/>
      <c r="J56" s="298"/>
      <c r="K56" s="297"/>
      <c r="L56" s="297"/>
      <c r="M56" s="297"/>
      <c r="N56" s="297"/>
      <c r="O56" s="297"/>
    </row>
    <row r="57" spans="2:15">
      <c r="B57" s="297"/>
      <c r="C57" s="297"/>
      <c r="D57" s="297"/>
      <c r="E57" s="297"/>
      <c r="F57" s="297"/>
      <c r="G57" s="297"/>
      <c r="H57" s="297"/>
      <c r="I57" s="297"/>
      <c r="J57" s="298"/>
      <c r="K57" s="297"/>
      <c r="L57" s="297"/>
      <c r="M57" s="297"/>
      <c r="N57" s="297"/>
      <c r="O57" s="297"/>
    </row>
    <row r="58" spans="2:15">
      <c r="B58" s="297"/>
      <c r="C58" s="297"/>
      <c r="D58" s="297"/>
      <c r="E58" s="297"/>
      <c r="F58" s="297"/>
      <c r="G58" s="297"/>
      <c r="H58" s="297"/>
      <c r="I58" s="297"/>
      <c r="J58" s="298"/>
      <c r="K58" s="297"/>
      <c r="L58" s="297"/>
      <c r="M58" s="297"/>
      <c r="N58" s="297"/>
      <c r="O58" s="297"/>
    </row>
    <row r="59" spans="2:15">
      <c r="B59" s="297"/>
      <c r="C59" s="297"/>
      <c r="D59" s="297"/>
      <c r="E59" s="297"/>
      <c r="F59" s="297"/>
      <c r="G59" s="297"/>
      <c r="H59" s="297"/>
      <c r="I59" s="297"/>
      <c r="J59" s="298"/>
      <c r="K59" s="297"/>
      <c r="L59" s="297"/>
      <c r="M59" s="297"/>
      <c r="N59" s="297"/>
      <c r="O59" s="297"/>
    </row>
    <row r="60" spans="2:15">
      <c r="B60" s="297"/>
      <c r="C60" s="297"/>
      <c r="D60" s="297"/>
      <c r="E60" s="297"/>
      <c r="F60" s="297"/>
      <c r="G60" s="297"/>
      <c r="H60" s="297"/>
      <c r="I60" s="297"/>
      <c r="J60" s="298"/>
      <c r="K60" s="297"/>
      <c r="L60" s="297"/>
      <c r="M60" s="297"/>
      <c r="N60" s="297"/>
      <c r="O60" s="297"/>
    </row>
  </sheetData>
  <sheetProtection sheet="1" objects="1" scenarios="1" selectLockedCells="1"/>
  <mergeCells count="46">
    <mergeCell ref="F6:H6"/>
    <mergeCell ref="I2:N2"/>
    <mergeCell ref="C4:D4"/>
    <mergeCell ref="F4:H4"/>
    <mergeCell ref="L4:M4"/>
    <mergeCell ref="F5:H5"/>
    <mergeCell ref="F18:H18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C30:E30"/>
    <mergeCell ref="G30:I30"/>
    <mergeCell ref="J30:L30"/>
    <mergeCell ref="N30:O30"/>
    <mergeCell ref="F19:H19"/>
    <mergeCell ref="F20:H20"/>
    <mergeCell ref="F21:H21"/>
    <mergeCell ref="F22:H22"/>
    <mergeCell ref="F23:H23"/>
    <mergeCell ref="F24:H24"/>
    <mergeCell ref="G27:H27"/>
    <mergeCell ref="N28:O28"/>
    <mergeCell ref="G29:I29"/>
    <mergeCell ref="J29:L29"/>
    <mergeCell ref="N29:O29"/>
    <mergeCell ref="G31:I31"/>
    <mergeCell ref="J31:L31"/>
    <mergeCell ref="N31:O31"/>
    <mergeCell ref="G32:I32"/>
    <mergeCell ref="J32:L32"/>
    <mergeCell ref="N32:O32"/>
    <mergeCell ref="F44:H44"/>
    <mergeCell ref="F45:H45"/>
    <mergeCell ref="N33:O33"/>
    <mergeCell ref="B35:E35"/>
    <mergeCell ref="C43:D43"/>
    <mergeCell ref="F43:H43"/>
    <mergeCell ref="L43:M43"/>
  </mergeCells>
  <phoneticPr fontId="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0"/>
  <sheetViews>
    <sheetView showGridLines="0" workbookViewId="0">
      <selection activeCell="A40" sqref="A40"/>
    </sheetView>
  </sheetViews>
  <sheetFormatPr baseColWidth="10" defaultRowHeight="12.75"/>
  <cols>
    <col min="1" max="1" width="0.42578125" customWidth="1"/>
    <col min="2" max="2" width="6.28515625" style="25" customWidth="1"/>
    <col min="3" max="3" width="4.42578125" style="68" customWidth="1"/>
    <col min="4" max="4" width="6.28515625" style="25" customWidth="1"/>
    <col min="5" max="5" width="4.42578125" style="68" customWidth="1"/>
    <col min="6" max="6" width="6.28515625" style="25" customWidth="1"/>
    <col min="7" max="7" width="4.42578125" style="68" customWidth="1"/>
    <col min="8" max="8" width="6.28515625" style="25" customWidth="1"/>
    <col min="9" max="9" width="4.42578125" style="68" customWidth="1"/>
    <col min="10" max="10" width="6.28515625" style="25" customWidth="1"/>
    <col min="11" max="11" width="4.42578125" style="68" customWidth="1"/>
    <col min="12" max="12" width="6.28515625" style="25" customWidth="1"/>
    <col min="13" max="13" width="4.42578125" style="68" customWidth="1"/>
    <col min="14" max="14" width="6.28515625" style="25" customWidth="1"/>
    <col min="15" max="15" width="4.42578125" style="68" customWidth="1"/>
    <col min="16" max="16" width="6.28515625" style="25" customWidth="1"/>
    <col min="17" max="17" width="4.42578125" style="68" customWidth="1"/>
    <col min="18" max="18" width="6.28515625" style="25" customWidth="1"/>
    <col min="19" max="19" width="4.42578125" style="68" customWidth="1"/>
    <col min="20" max="20" width="6.28515625" style="25" customWidth="1"/>
    <col min="21" max="21" width="4.42578125" style="68" customWidth="1"/>
    <col min="22" max="22" width="6.28515625" style="25" customWidth="1"/>
    <col min="23" max="23" width="4.42578125" style="68" customWidth="1"/>
    <col min="24" max="24" width="6.28515625" style="25" customWidth="1"/>
    <col min="25" max="25" width="4.42578125" style="68" customWidth="1"/>
  </cols>
  <sheetData>
    <row r="1" spans="1:26" ht="18">
      <c r="E1" s="299" t="s">
        <v>0</v>
      </c>
      <c r="F1" s="129"/>
      <c r="G1" s="129"/>
      <c r="H1" s="129"/>
      <c r="I1" s="300"/>
      <c r="J1" s="301"/>
      <c r="K1" s="301"/>
      <c r="L1" s="127"/>
      <c r="M1" s="125"/>
      <c r="N1" s="125"/>
      <c r="O1" s="125"/>
    </row>
    <row r="2" spans="1:26" ht="27.95" customHeight="1">
      <c r="B2" s="302"/>
      <c r="C2" s="303"/>
      <c r="D2" s="302"/>
      <c r="E2" s="304" t="str">
        <f>Datenblatt!A2</f>
        <v>Pfarre</v>
      </c>
      <c r="F2" s="305"/>
      <c r="G2" s="305"/>
      <c r="H2" s="305"/>
      <c r="I2" s="306"/>
      <c r="J2" s="307"/>
      <c r="K2" s="307"/>
      <c r="L2" s="308"/>
      <c r="M2" s="306"/>
      <c r="N2" s="306"/>
      <c r="O2" s="303"/>
      <c r="P2" s="302"/>
      <c r="Q2" s="303"/>
      <c r="R2" s="302"/>
      <c r="S2" s="303"/>
      <c r="T2" s="302"/>
      <c r="U2" s="303"/>
      <c r="V2" s="302"/>
      <c r="W2" s="303"/>
      <c r="X2" s="302"/>
      <c r="Y2" s="309" t="str">
        <f>Datenblatt!D8</f>
        <v>Kirchenmusiker</v>
      </c>
    </row>
    <row r="3" spans="1:26" ht="9.9499999999999993" customHeight="1"/>
    <row r="4" spans="1:26" ht="15.75">
      <c r="B4" s="310" t="str">
        <f>"Jahresübersicht Jänner - Dezember "&amp;Datenblatt!F5&amp;":"</f>
        <v>Jahresübersicht Jänner - Dezember 2025:</v>
      </c>
      <c r="F4" s="310"/>
      <c r="K4" s="310" t="str">
        <f>Datenblatt!D7</f>
        <v>Vorname Familienname</v>
      </c>
      <c r="N4" s="310"/>
      <c r="R4" s="311"/>
      <c r="T4" s="24"/>
      <c r="W4" s="450"/>
      <c r="X4" s="450"/>
    </row>
    <row r="5" spans="1:26" ht="6" customHeight="1">
      <c r="B5" s="310"/>
      <c r="F5" s="310"/>
      <c r="K5" s="310"/>
      <c r="N5" s="310"/>
      <c r="R5" s="311"/>
      <c r="T5" s="24"/>
      <c r="W5" s="312"/>
      <c r="X5" s="312"/>
    </row>
    <row r="6" spans="1:26">
      <c r="B6" s="24" t="str">
        <f>"Sollstunden im Jahr "&amp;Datenblatt!F5&amp;":"</f>
        <v>Sollstunden im Jahr 2025:</v>
      </c>
      <c r="F6" s="451">
        <f>Jän!S41+Feb!T41+März!T41+April!T41+Mai!T41+Juni!T41+Juli!T41+Aug!T41+Sept!T41+Okt!T41+Nov!T41+Dez!T41</f>
        <v>2000</v>
      </c>
      <c r="G6" s="451"/>
      <c r="H6" s="24" t="str">
        <f>IF(Datenblatt!D13&gt;=0,"Zeitguthaben per 31.12."&amp;Datenblatt!F5-1&amp;":","Zeitdefizit per 31.12."&amp;Datenblatt!F5-1&amp;":")</f>
        <v>Zeitguthaben per 31.12.2024:</v>
      </c>
      <c r="L6" s="451">
        <f>Datenblatt!D13</f>
        <v>0</v>
      </c>
      <c r="M6" s="451"/>
      <c r="P6" s="313"/>
      <c r="R6" s="314" t="str">
        <f>IF(Dez!T44&gt;=0,"Zeitguthaben per 31.12."&amp;Datenblatt!F5&amp;":","Zeitdefizit per 31.12."&amp;Datenblatt!F5&amp;":")</f>
        <v>Zeitdefizit per 31.12.2025:</v>
      </c>
      <c r="S6" s="24"/>
      <c r="T6" s="315"/>
      <c r="U6" s="314"/>
      <c r="W6" s="452">
        <f>Dez!T44</f>
        <v>-2000</v>
      </c>
      <c r="X6" s="452"/>
      <c r="Y6" s="452"/>
    </row>
    <row r="7" spans="1:26" s="2" customFormat="1" ht="12.75" customHeight="1">
      <c r="B7" s="24" t="str">
        <f>"Geleistete Arbeitsstunden:"</f>
        <v>Geleistete Arbeitsstunden:</v>
      </c>
      <c r="C7" s="316"/>
      <c r="D7" s="24"/>
      <c r="E7" s="66"/>
      <c r="F7" s="451">
        <f>Jän!U40+Feb!U40+März!U40+April!U40+Mai!U40+Juni!U40+Juli!U40+Aug!U40+Sept!U40+Okt!U40+Nov!U40+Dez!U40-K7-P7</f>
        <v>0</v>
      </c>
      <c r="G7" s="451"/>
      <c r="H7" s="24" t="str">
        <f>"Konsumierter Urlaub:"</f>
        <v>Konsumierter Urlaub:</v>
      </c>
      <c r="K7" s="451">
        <f>Jän!Q40+Feb!Q40+März!Q40+April!Q40+Mai!Q40+Juni!Q40+Juli!Q40+Aug!Q40+Sept!Q40+Okt!Q40+Nov!Q40+Dez!Q40</f>
        <v>0</v>
      </c>
      <c r="L7" s="451"/>
      <c r="M7" s="385" t="str">
        <f>"Krankenstände:"</f>
        <v>Krankenstände:</v>
      </c>
      <c r="N7" s="385"/>
      <c r="O7" s="385"/>
      <c r="P7" s="449">
        <f>Jän!P40+Feb!P40+März!P40+April!P40+Mai!P40+Juni!P40+Juli!P40+Aug!P40+Sept!P40+Okt!P40+Nov!P40+Dez!P40</f>
        <v>0</v>
      </c>
      <c r="Q7" s="449"/>
      <c r="R7" s="317" t="str">
        <f>"Resturlaub per 31.12."&amp;Datenblatt!F5&amp;":"</f>
        <v>Resturlaub per 31.12.2025:</v>
      </c>
      <c r="T7" s="317"/>
      <c r="U7" s="106"/>
      <c r="W7" s="317"/>
      <c r="X7" s="453">
        <f>Dez!U5</f>
        <v>190</v>
      </c>
      <c r="Y7" s="453"/>
      <c r="Z7" s="318"/>
    </row>
    <row r="8" spans="1:26" ht="9.9499999999999993" customHeight="1"/>
    <row r="9" spans="1:26">
      <c r="B9" s="448" t="s">
        <v>166</v>
      </c>
      <c r="C9" s="448"/>
      <c r="D9" s="448" t="s">
        <v>167</v>
      </c>
      <c r="E9" s="448"/>
      <c r="F9" s="448" t="s">
        <v>8</v>
      </c>
      <c r="G9" s="448"/>
      <c r="H9" s="448" t="s">
        <v>9</v>
      </c>
      <c r="I9" s="448"/>
      <c r="J9" s="448" t="s">
        <v>10</v>
      </c>
      <c r="K9" s="448"/>
      <c r="L9" s="448" t="s">
        <v>11</v>
      </c>
      <c r="M9" s="448"/>
      <c r="N9" s="448" t="s">
        <v>40</v>
      </c>
      <c r="O9" s="448"/>
      <c r="P9" s="448" t="s">
        <v>41</v>
      </c>
      <c r="Q9" s="448"/>
      <c r="R9" s="448" t="s">
        <v>42</v>
      </c>
      <c r="S9" s="448"/>
      <c r="T9" s="448" t="s">
        <v>43</v>
      </c>
      <c r="U9" s="448"/>
      <c r="V9" s="448" t="s">
        <v>44</v>
      </c>
      <c r="W9" s="448"/>
      <c r="X9" s="448" t="s">
        <v>45</v>
      </c>
      <c r="Y9" s="448"/>
    </row>
    <row r="10" spans="1:26" ht="12.4" customHeight="1">
      <c r="A10" s="91">
        <f>Datenblatt!A43</f>
        <v>45658</v>
      </c>
      <c r="B10" s="319">
        <f>DATE(Datenblatt!$F$5,1,1)</f>
        <v>45658</v>
      </c>
      <c r="C10" s="320" t="str">
        <f>IF(Jän!$P9&gt;0,"K",IF(Jän!$Q9&gt;0,"U",IF(Jän!$U9="","",Jän!$U9)))</f>
        <v/>
      </c>
      <c r="D10" s="319">
        <f>DATE(Datenblatt!$F$5,2,1)</f>
        <v>45689</v>
      </c>
      <c r="E10" s="320" t="str">
        <f>IF(Feb!$P9&gt;0,"K",IF(Feb!$Q9&gt;0,"U",IF(Feb!$U9="","",Feb!$U9)))</f>
        <v/>
      </c>
      <c r="F10" s="319">
        <f>DATE(Datenblatt!$F$5,3,1)</f>
        <v>45717</v>
      </c>
      <c r="G10" s="320" t="str">
        <f>IF(März!$P9&gt;0,"K",IF(März!$Q9&gt;0,"U",IF(März!$U9="","",März!$U9)))</f>
        <v/>
      </c>
      <c r="H10" s="319">
        <f>DATE(Datenblatt!$F$5,4,1)</f>
        <v>45748</v>
      </c>
      <c r="I10" s="320" t="str">
        <f>IF(April!$P9&gt;0,"K",IF(April!$Q9&gt;0,"U",IF(April!$U9="","",April!$U9)))</f>
        <v/>
      </c>
      <c r="J10" s="321">
        <f>DATE(Datenblatt!$F$5,5,1)</f>
        <v>45778</v>
      </c>
      <c r="K10" s="320" t="str">
        <f>IF(Mai!$P9&gt;0,"K",IF(Mai!$Q9&gt;0,"U",IF(Mai!$U9="","",Mai!$U9)))</f>
        <v/>
      </c>
      <c r="L10" s="319">
        <f>DATE(Datenblatt!$F$5,6,1)</f>
        <v>45809</v>
      </c>
      <c r="M10" s="320" t="str">
        <f>IF(Juni!$P9&gt;0,"K",IF(Juni!$Q9&gt;0,"U",IF(Juni!$U9="","",Juni!$U9)))</f>
        <v/>
      </c>
      <c r="N10" s="319">
        <f>DATE(Datenblatt!$F$5,7,1)</f>
        <v>45839</v>
      </c>
      <c r="O10" s="320" t="str">
        <f>IF(Juli!$P9&gt;0,"K",IF(Juli!$Q9&gt;0,"U",IF(Juli!$U9="","",Juli!$U9)))</f>
        <v/>
      </c>
      <c r="P10" s="319">
        <f>DATE(Datenblatt!$F$5,8,1)</f>
        <v>45870</v>
      </c>
      <c r="Q10" s="320" t="str">
        <f>IF(Aug!$P9&gt;0,"K",IF(Aug!$Q9&gt;0,"U",IF(Aug!$U9="","",Aug!$U9)))</f>
        <v/>
      </c>
      <c r="R10" s="319">
        <f>DATE(Datenblatt!$F$5,9,1)</f>
        <v>45901</v>
      </c>
      <c r="S10" s="320" t="str">
        <f>IF(Sept!$P9&gt;0,"K",IF(Sept!$Q9&gt;0,"U",IF(Sept!$U9="","",Sept!$U9)))</f>
        <v/>
      </c>
      <c r="T10" s="319">
        <f>DATE(Datenblatt!$F$5,10,1)</f>
        <v>45931</v>
      </c>
      <c r="U10" s="320" t="str">
        <f>IF(Okt!$P9&gt;0,"K",IF(Okt!$Q9&gt;0,"U",IF(Okt!$U9="","",Okt!$U9)))</f>
        <v/>
      </c>
      <c r="V10" s="319">
        <f>DATE(Datenblatt!$F$5,11,1)</f>
        <v>45962</v>
      </c>
      <c r="W10" s="320" t="str">
        <f>IF(Nov!$P9&gt;0,"K",IF(Nov!$Q9&gt;0,"U",IF(Nov!$U9="","",Nov!$U9)))</f>
        <v/>
      </c>
      <c r="X10" s="322">
        <f>DATE(Datenblatt!$F$5,12,1)</f>
        <v>45992</v>
      </c>
      <c r="Y10" s="323" t="str">
        <f>IF(Dez!$P9&gt;0,"K",IF(Dez!$Q9&gt;0,"U",IF(Dez!$U9="","",Dez!$U9)))</f>
        <v/>
      </c>
    </row>
    <row r="11" spans="1:26" ht="12.4" customHeight="1">
      <c r="A11" s="91">
        <f>Datenblatt!A44</f>
        <v>45663</v>
      </c>
      <c r="B11" s="319">
        <f t="shared" ref="B11:B40" si="0">B10+1</f>
        <v>45659</v>
      </c>
      <c r="C11" s="320" t="str">
        <f>IF(Jän!$P10&gt;0,"K",IF(Jän!$Q10&gt;0,"U",IF(Jän!$U10="","",Jän!$U10)))</f>
        <v/>
      </c>
      <c r="D11" s="319">
        <f t="shared" ref="D11:D37" si="1">D10+1</f>
        <v>45690</v>
      </c>
      <c r="E11" s="320" t="str">
        <f>IF(Feb!$P10&gt;0,"K",IF(Feb!$Q10&gt;0,"U",IF(Feb!$U10="","",Feb!$U10)))</f>
        <v/>
      </c>
      <c r="F11" s="319">
        <f t="shared" ref="F11:F40" si="2">F10+1</f>
        <v>45718</v>
      </c>
      <c r="G11" s="320" t="str">
        <f>IF(März!$P10&gt;0,"K",IF(März!$Q10&gt;0,"U",IF(März!$U10="","",März!$U10)))</f>
        <v/>
      </c>
      <c r="H11" s="319">
        <f t="shared" ref="H11:H39" si="3">H10+1</f>
        <v>45749</v>
      </c>
      <c r="I11" s="320" t="str">
        <f>IF(April!$P10&gt;0,"K",IF(April!$Q10&gt;0,"U",IF(April!$U10="","",April!$U10)))</f>
        <v/>
      </c>
      <c r="J11" s="324">
        <f t="shared" ref="J11:J40" si="4">J10+1</f>
        <v>45779</v>
      </c>
      <c r="K11" s="320" t="str">
        <f>IF(Mai!$P10&gt;0,"K",IF(Mai!$Q10&gt;0,"U",IF(Mai!$U10="","",Mai!$U10)))</f>
        <v/>
      </c>
      <c r="L11" s="319">
        <f t="shared" ref="L11:L39" si="5">L10+1</f>
        <v>45810</v>
      </c>
      <c r="M11" s="320" t="str">
        <f>IF(Juni!$P10&gt;0,"K",IF(Juni!$Q10&gt;0,"U",IF(Juni!$U10="","",Juni!$U10)))</f>
        <v/>
      </c>
      <c r="N11" s="319">
        <f t="shared" ref="N11:N40" si="6">N10+1</f>
        <v>45840</v>
      </c>
      <c r="O11" s="320" t="str">
        <f>IF(Juli!$P10&gt;0,"K",IF(Juli!$Q10&gt;0,"U",IF(Juli!$U10="","",Juli!$U10)))</f>
        <v/>
      </c>
      <c r="P11" s="319">
        <f t="shared" ref="P11:P40" si="7">P10+1</f>
        <v>45871</v>
      </c>
      <c r="Q11" s="320" t="str">
        <f>IF(Aug!$P10&gt;0,"K",IF(Aug!$Q10&gt;0,"U",IF(Aug!$U10="","",Aug!$U10)))</f>
        <v/>
      </c>
      <c r="R11" s="319">
        <f t="shared" ref="R11:R39" si="8">R10+1</f>
        <v>45902</v>
      </c>
      <c r="S11" s="320" t="str">
        <f>IF(Sept!$P10&gt;0,"K",IF(Sept!$Q10&gt;0,"U",IF(Sept!$U10="","",Sept!$U10)))</f>
        <v/>
      </c>
      <c r="T11" s="319">
        <f t="shared" ref="T11:T40" si="9">T10+1</f>
        <v>45932</v>
      </c>
      <c r="U11" s="320" t="str">
        <f>IF(Okt!$P10&gt;0,"K",IF(Okt!$Q10&gt;0,"U",IF(Okt!$U10="","",Okt!$U10)))</f>
        <v/>
      </c>
      <c r="V11" s="319">
        <f t="shared" ref="V11:V39" si="10">V10+1</f>
        <v>45963</v>
      </c>
      <c r="W11" s="320" t="str">
        <f>IF(Nov!$P10&gt;0,"K",IF(Nov!$Q10&gt;0,"U",IF(Nov!$U10="","",Nov!$U10)))</f>
        <v/>
      </c>
      <c r="X11" s="319">
        <f t="shared" ref="X11:X40" si="11">X10+1</f>
        <v>45993</v>
      </c>
      <c r="Y11" s="325" t="str">
        <f>IF(Dez!$P10&gt;0,"K",IF(Dez!$Q10&gt;0,"U",IF(Dez!$U10="","",Dez!$U10)))</f>
        <v/>
      </c>
    </row>
    <row r="12" spans="1:26" ht="12.4" customHeight="1">
      <c r="A12" s="91" t="str">
        <f>Datenblatt!A46</f>
        <v>nicht frei</v>
      </c>
      <c r="B12" s="319">
        <f t="shared" si="0"/>
        <v>45660</v>
      </c>
      <c r="C12" s="320" t="str">
        <f>IF(Jän!$P11&gt;0,"K",IF(Jän!$Q11&gt;0,"U",IF(Jän!$U11="","",Jän!$U11)))</f>
        <v/>
      </c>
      <c r="D12" s="319">
        <f t="shared" si="1"/>
        <v>45691</v>
      </c>
      <c r="E12" s="320" t="str">
        <f>IF(Feb!$P11&gt;0,"K",IF(Feb!$Q11&gt;0,"U",IF(Feb!$U11="","",Feb!$U11)))</f>
        <v/>
      </c>
      <c r="F12" s="319">
        <f t="shared" si="2"/>
        <v>45719</v>
      </c>
      <c r="G12" s="320" t="str">
        <f>IF(März!$P11&gt;0,"K",IF(März!$Q11&gt;0,"U",IF(März!$U11="","",März!$U11)))</f>
        <v/>
      </c>
      <c r="H12" s="319">
        <f t="shared" si="3"/>
        <v>45750</v>
      </c>
      <c r="I12" s="320" t="str">
        <f>IF(April!$P11&gt;0,"K",IF(April!$Q11&gt;0,"U",IF(April!$U11="","",April!$U11)))</f>
        <v/>
      </c>
      <c r="J12" s="319">
        <f t="shared" si="4"/>
        <v>45780</v>
      </c>
      <c r="K12" s="320" t="str">
        <f>IF(Mai!$P11&gt;0,"K",IF(Mai!$Q11&gt;0,"U",IF(Mai!$U11="","",Mai!$U11)))</f>
        <v/>
      </c>
      <c r="L12" s="319">
        <f t="shared" si="5"/>
        <v>45811</v>
      </c>
      <c r="M12" s="320" t="str">
        <f>IF(Juni!$P11&gt;0,"K",IF(Juni!$Q11&gt;0,"U",IF(Juni!$U11="","",Juni!$U11)))</f>
        <v/>
      </c>
      <c r="N12" s="319">
        <f t="shared" si="6"/>
        <v>45841</v>
      </c>
      <c r="O12" s="320" t="str">
        <f>IF(Juli!$P11&gt;0,"K",IF(Juli!$Q11&gt;0,"U",IF(Juli!$U11="","",Juli!$U11)))</f>
        <v/>
      </c>
      <c r="P12" s="319">
        <f t="shared" si="7"/>
        <v>45872</v>
      </c>
      <c r="Q12" s="320" t="str">
        <f>IF(Aug!$P11&gt;0,"K",IF(Aug!$Q11&gt;0,"U",IF(Aug!$U11="","",Aug!$U11)))</f>
        <v/>
      </c>
      <c r="R12" s="319">
        <f t="shared" si="8"/>
        <v>45903</v>
      </c>
      <c r="S12" s="320" t="str">
        <f>IF(Sept!$P11&gt;0,"K",IF(Sept!$Q11&gt;0,"U",IF(Sept!$U11="","",Sept!$U11)))</f>
        <v/>
      </c>
      <c r="T12" s="319">
        <f t="shared" si="9"/>
        <v>45933</v>
      </c>
      <c r="U12" s="320" t="str">
        <f>IF(Okt!$P11&gt;0,"K",IF(Okt!$Q11&gt;0,"U",IF(Okt!$U11="","",Okt!$U11)))</f>
        <v/>
      </c>
      <c r="V12" s="319">
        <f t="shared" si="10"/>
        <v>45964</v>
      </c>
      <c r="W12" s="320" t="str">
        <f>IF(Nov!$P11&gt;0,"K",IF(Nov!$Q11&gt;0,"U",IF(Nov!$U11="","",Nov!$U11)))</f>
        <v/>
      </c>
      <c r="X12" s="319">
        <f t="shared" si="11"/>
        <v>45994</v>
      </c>
      <c r="Y12" s="325" t="str">
        <f>IF(Dez!$P11&gt;0,"K",IF(Dez!$Q11&gt;0,"U",IF(Dez!$U11="","",Dez!$U11)))</f>
        <v/>
      </c>
    </row>
    <row r="13" spans="1:26" ht="12.4" customHeight="1">
      <c r="A13" s="91">
        <f>Datenblatt!A47</f>
        <v>0</v>
      </c>
      <c r="B13" s="319">
        <f t="shared" si="0"/>
        <v>45661</v>
      </c>
      <c r="C13" s="320" t="str">
        <f>IF(Jän!$P12&gt;0,"K",IF(Jän!$Q12&gt;0,"U",IF(Jän!$U12="","",Jän!$U12)))</f>
        <v/>
      </c>
      <c r="D13" s="319">
        <f t="shared" si="1"/>
        <v>45692</v>
      </c>
      <c r="E13" s="320" t="str">
        <f>IF(Feb!$P12&gt;0,"K",IF(Feb!$Q12&gt;0,"U",IF(Feb!$U12="","",Feb!$U12)))</f>
        <v/>
      </c>
      <c r="F13" s="319">
        <f t="shared" si="2"/>
        <v>45720</v>
      </c>
      <c r="G13" s="320" t="str">
        <f>IF(März!$P12&gt;0,"K",IF(März!$Q12&gt;0,"U",IF(März!$U12="","",März!$U12)))</f>
        <v/>
      </c>
      <c r="H13" s="319">
        <f t="shared" si="3"/>
        <v>45751</v>
      </c>
      <c r="I13" s="320" t="str">
        <f>IF(April!$P12&gt;0,"K",IF(April!$Q12&gt;0,"U",IF(April!$U12="","",April!$U12)))</f>
        <v/>
      </c>
      <c r="J13" s="319">
        <f t="shared" si="4"/>
        <v>45781</v>
      </c>
      <c r="K13" s="320" t="str">
        <f>IF(Mai!$P12&gt;0,"K",IF(Mai!$Q12&gt;0,"U",IF(Mai!$U12="","",Mai!$U12)))</f>
        <v/>
      </c>
      <c r="L13" s="319">
        <f t="shared" si="5"/>
        <v>45812</v>
      </c>
      <c r="M13" s="320" t="str">
        <f>IF(Juni!$P12&gt;0,"K",IF(Juni!$Q12&gt;0,"U",IF(Juni!$U12="","",Juni!$U12)))</f>
        <v/>
      </c>
      <c r="N13" s="319">
        <f t="shared" si="6"/>
        <v>45842</v>
      </c>
      <c r="O13" s="320" t="str">
        <f>IF(Juli!$P12&gt;0,"K",IF(Juli!$Q12&gt;0,"U",IF(Juli!$U12="","",Juli!$U12)))</f>
        <v/>
      </c>
      <c r="P13" s="319">
        <f t="shared" si="7"/>
        <v>45873</v>
      </c>
      <c r="Q13" s="320" t="str">
        <f>IF(Aug!$P12&gt;0,"K",IF(Aug!$Q12&gt;0,"U",IF(Aug!$U12="","",Aug!$U12)))</f>
        <v/>
      </c>
      <c r="R13" s="319">
        <f t="shared" si="8"/>
        <v>45904</v>
      </c>
      <c r="S13" s="320" t="str">
        <f>IF(Sept!$P12&gt;0,"K",IF(Sept!$Q12&gt;0,"U",IF(Sept!$U12="","",Sept!$U12)))</f>
        <v/>
      </c>
      <c r="T13" s="319">
        <f t="shared" si="9"/>
        <v>45934</v>
      </c>
      <c r="U13" s="320" t="str">
        <f>IF(Okt!$P12&gt;0,"K",IF(Okt!$Q12&gt;0,"U",IF(Okt!$U12="","",Okt!$U12)))</f>
        <v/>
      </c>
      <c r="V13" s="319">
        <f t="shared" si="10"/>
        <v>45965</v>
      </c>
      <c r="W13" s="320" t="str">
        <f>IF(Nov!$P12&gt;0,"K",IF(Nov!$Q12&gt;0,"U",IF(Nov!$U12="","",Nov!$U12)))</f>
        <v/>
      </c>
      <c r="X13" s="319">
        <f t="shared" si="11"/>
        <v>45995</v>
      </c>
      <c r="Y13" s="325" t="str">
        <f>IF(Dez!$P12&gt;0,"K",IF(Dez!$Q12&gt;0,"U",IF(Dez!$U12="","",Dez!$U12)))</f>
        <v/>
      </c>
    </row>
    <row r="14" spans="1:26" ht="12.4" customHeight="1">
      <c r="A14" s="91">
        <f>Datenblatt!A48</f>
        <v>45767</v>
      </c>
      <c r="B14" s="319">
        <f t="shared" si="0"/>
        <v>45662</v>
      </c>
      <c r="C14" s="320" t="str">
        <f>IF(Jän!$P13&gt;0,"K",IF(Jän!$Q13&gt;0,"U",IF(Jän!$U13="","",Jän!$U13)))</f>
        <v/>
      </c>
      <c r="D14" s="319">
        <f t="shared" si="1"/>
        <v>45693</v>
      </c>
      <c r="E14" s="320" t="str">
        <f>IF(Feb!$P13&gt;0,"K",IF(Feb!$Q13&gt;0,"U",IF(Feb!$U13="","",Feb!$U13)))</f>
        <v/>
      </c>
      <c r="F14" s="319">
        <f t="shared" si="2"/>
        <v>45721</v>
      </c>
      <c r="G14" s="320" t="str">
        <f>IF(März!$P13&gt;0,"K",IF(März!$Q13&gt;0,"U",IF(März!$U13="","",März!$U13)))</f>
        <v/>
      </c>
      <c r="H14" s="319">
        <f t="shared" si="3"/>
        <v>45752</v>
      </c>
      <c r="I14" s="320" t="str">
        <f>IF(April!$P13&gt;0,"K",IF(April!$Q13&gt;0,"U",IF(April!$U13="","",April!$U13)))</f>
        <v/>
      </c>
      <c r="J14" s="319">
        <f t="shared" si="4"/>
        <v>45782</v>
      </c>
      <c r="K14" s="320" t="str">
        <f>IF(Mai!$P13&gt;0,"K",IF(Mai!$Q13&gt;0,"U",IF(Mai!$U13="","",Mai!$U13)))</f>
        <v/>
      </c>
      <c r="L14" s="319">
        <f t="shared" si="5"/>
        <v>45813</v>
      </c>
      <c r="M14" s="320" t="str">
        <f>IF(Juni!$P13&gt;0,"K",IF(Juni!$Q13&gt;0,"U",IF(Juni!$U13="","",Juni!$U13)))</f>
        <v/>
      </c>
      <c r="N14" s="319">
        <f t="shared" si="6"/>
        <v>45843</v>
      </c>
      <c r="O14" s="320" t="str">
        <f>IF(Juli!$P13&gt;0,"K",IF(Juli!$Q13&gt;0,"U",IF(Juli!$U13="","",Juli!$U13)))</f>
        <v/>
      </c>
      <c r="P14" s="319">
        <f t="shared" si="7"/>
        <v>45874</v>
      </c>
      <c r="Q14" s="320" t="str">
        <f>IF(Aug!$P13&gt;0,"K",IF(Aug!$Q13&gt;0,"U",IF(Aug!$U13="","",Aug!$U13)))</f>
        <v/>
      </c>
      <c r="R14" s="319">
        <f t="shared" si="8"/>
        <v>45905</v>
      </c>
      <c r="S14" s="320" t="str">
        <f>IF(Sept!$P13&gt;0,"K",IF(Sept!$Q13&gt;0,"U",IF(Sept!$U13="","",Sept!$U13)))</f>
        <v/>
      </c>
      <c r="T14" s="319">
        <f t="shared" si="9"/>
        <v>45935</v>
      </c>
      <c r="U14" s="320" t="str">
        <f>IF(Okt!$P13&gt;0,"K",IF(Okt!$Q13&gt;0,"U",IF(Okt!$U13="","",Okt!$U13)))</f>
        <v/>
      </c>
      <c r="V14" s="319">
        <f t="shared" si="10"/>
        <v>45966</v>
      </c>
      <c r="W14" s="320" t="str">
        <f>IF(Nov!$P13&gt;0,"K",IF(Nov!$Q13&gt;0,"U",IF(Nov!$U13="","",Nov!$U13)))</f>
        <v/>
      </c>
      <c r="X14" s="319">
        <f t="shared" si="11"/>
        <v>45996</v>
      </c>
      <c r="Y14" s="325" t="str">
        <f>IF(Dez!$P13&gt;0,"K",IF(Dez!$Q13&gt;0,"U",IF(Dez!$U13="","",Dez!$U13)))</f>
        <v/>
      </c>
    </row>
    <row r="15" spans="1:26" ht="12.4" customHeight="1">
      <c r="A15" s="91">
        <f>Datenblatt!A49</f>
        <v>45768</v>
      </c>
      <c r="B15" s="319">
        <f t="shared" si="0"/>
        <v>45663</v>
      </c>
      <c r="C15" s="320" t="str">
        <f>IF(Jän!$P14&gt;0,"K",IF(Jän!$Q14&gt;0,"U",IF(Jän!$U14="","",Jän!$U14)))</f>
        <v/>
      </c>
      <c r="D15" s="319">
        <f t="shared" si="1"/>
        <v>45694</v>
      </c>
      <c r="E15" s="320" t="str">
        <f>IF(Feb!$P14&gt;0,"K",IF(Feb!$Q14&gt;0,"U",IF(Feb!$U14="","",Feb!$U14)))</f>
        <v/>
      </c>
      <c r="F15" s="319">
        <f t="shared" si="2"/>
        <v>45722</v>
      </c>
      <c r="G15" s="320" t="str">
        <f>IF(März!$P14&gt;0,"K",IF(März!$Q14&gt;0,"U",IF(März!$U14="","",März!$U14)))</f>
        <v/>
      </c>
      <c r="H15" s="319">
        <f t="shared" si="3"/>
        <v>45753</v>
      </c>
      <c r="I15" s="320" t="str">
        <f>IF(April!$P14&gt;0,"K",IF(April!$Q14&gt;0,"U",IF(April!$U14="","",April!$U14)))</f>
        <v/>
      </c>
      <c r="J15" s="319">
        <f t="shared" si="4"/>
        <v>45783</v>
      </c>
      <c r="K15" s="320" t="str">
        <f>IF(Mai!$P14&gt;0,"K",IF(Mai!$Q14&gt;0,"U",IF(Mai!$U14="","",Mai!$U14)))</f>
        <v/>
      </c>
      <c r="L15" s="319">
        <f t="shared" si="5"/>
        <v>45814</v>
      </c>
      <c r="M15" s="320" t="str">
        <f>IF(Juni!$P14&gt;0,"K",IF(Juni!$Q14&gt;0,"U",IF(Juni!$U14="","",Juni!$U14)))</f>
        <v/>
      </c>
      <c r="N15" s="319">
        <f t="shared" si="6"/>
        <v>45844</v>
      </c>
      <c r="O15" s="320" t="str">
        <f>IF(Juli!$P14&gt;0,"K",IF(Juli!$Q14&gt;0,"U",IF(Juli!$U14="","",Juli!$U14)))</f>
        <v/>
      </c>
      <c r="P15" s="319">
        <f t="shared" si="7"/>
        <v>45875</v>
      </c>
      <c r="Q15" s="320" t="str">
        <f>IF(Aug!$P14&gt;0,"K",IF(Aug!$Q14&gt;0,"U",IF(Aug!$U14="","",Aug!$U14)))</f>
        <v/>
      </c>
      <c r="R15" s="319">
        <f t="shared" si="8"/>
        <v>45906</v>
      </c>
      <c r="S15" s="320" t="str">
        <f>IF(Sept!$P14&gt;0,"K",IF(Sept!$Q14&gt;0,"U",IF(Sept!$U14="","",Sept!$U14)))</f>
        <v/>
      </c>
      <c r="T15" s="319">
        <f t="shared" si="9"/>
        <v>45936</v>
      </c>
      <c r="U15" s="320" t="str">
        <f>IF(Okt!$P14&gt;0,"K",IF(Okt!$Q14&gt;0,"U",IF(Okt!$U14="","",Okt!$U14)))</f>
        <v/>
      </c>
      <c r="V15" s="319">
        <f t="shared" si="10"/>
        <v>45967</v>
      </c>
      <c r="W15" s="320" t="str">
        <f>IF(Nov!$P14&gt;0,"K",IF(Nov!$Q14&gt;0,"U",IF(Nov!$U14="","",Nov!$U14)))</f>
        <v/>
      </c>
      <c r="X15" s="319">
        <f t="shared" si="11"/>
        <v>45997</v>
      </c>
      <c r="Y15" s="325" t="str">
        <f>IF(Dez!$P14&gt;0,"K",IF(Dez!$Q14&gt;0,"U",IF(Dez!$U14="","",Dez!$U14)))</f>
        <v/>
      </c>
    </row>
    <row r="16" spans="1:26" ht="12.4" customHeight="1">
      <c r="A16" s="91">
        <f>Datenblatt!A51</f>
        <v>45778</v>
      </c>
      <c r="B16" s="319">
        <f t="shared" si="0"/>
        <v>45664</v>
      </c>
      <c r="C16" s="320" t="str">
        <f>IF(Jän!$P15&gt;0,"K",IF(Jän!$Q15&gt;0,"U",IF(Jän!$U15="","",Jän!$U15)))</f>
        <v/>
      </c>
      <c r="D16" s="319">
        <f t="shared" si="1"/>
        <v>45695</v>
      </c>
      <c r="E16" s="320" t="str">
        <f>IF(Feb!$P15&gt;0,"K",IF(Feb!$Q15&gt;0,"U",IF(Feb!$U15="","",Feb!$U15)))</f>
        <v/>
      </c>
      <c r="F16" s="319">
        <f t="shared" si="2"/>
        <v>45723</v>
      </c>
      <c r="G16" s="320" t="str">
        <f>IF(März!$P15&gt;0,"K",IF(März!$Q15&gt;0,"U",IF(März!$U15="","",März!$U15)))</f>
        <v/>
      </c>
      <c r="H16" s="319">
        <f t="shared" si="3"/>
        <v>45754</v>
      </c>
      <c r="I16" s="320" t="str">
        <f>IF(April!$P15&gt;0,"K",IF(April!$Q15&gt;0,"U",IF(April!$U15="","",April!$U15)))</f>
        <v/>
      </c>
      <c r="J16" s="319">
        <f t="shared" si="4"/>
        <v>45784</v>
      </c>
      <c r="K16" s="320" t="str">
        <f>IF(Mai!$P15&gt;0,"K",IF(Mai!$Q15&gt;0,"U",IF(Mai!$U15="","",Mai!$U15)))</f>
        <v/>
      </c>
      <c r="L16" s="319">
        <f t="shared" si="5"/>
        <v>45815</v>
      </c>
      <c r="M16" s="320" t="str">
        <f>IF(Juni!$P15&gt;0,"K",IF(Juni!$Q15&gt;0,"U",IF(Juni!$U15="","",Juni!$U15)))</f>
        <v/>
      </c>
      <c r="N16" s="319">
        <f t="shared" si="6"/>
        <v>45845</v>
      </c>
      <c r="O16" s="320" t="str">
        <f>IF(Juli!$P15&gt;0,"K",IF(Juli!$Q15&gt;0,"U",IF(Juli!$U15="","",Juli!$U15)))</f>
        <v/>
      </c>
      <c r="P16" s="319">
        <f t="shared" si="7"/>
        <v>45876</v>
      </c>
      <c r="Q16" s="320" t="str">
        <f>IF(Aug!$P15&gt;0,"K",IF(Aug!$Q15&gt;0,"U",IF(Aug!$U15="","",Aug!$U15)))</f>
        <v/>
      </c>
      <c r="R16" s="319">
        <f t="shared" si="8"/>
        <v>45907</v>
      </c>
      <c r="S16" s="320" t="str">
        <f>IF(Sept!$P15&gt;0,"K",IF(Sept!$Q15&gt;0,"U",IF(Sept!$U15="","",Sept!$U15)))</f>
        <v/>
      </c>
      <c r="T16" s="319">
        <f t="shared" si="9"/>
        <v>45937</v>
      </c>
      <c r="U16" s="320" t="str">
        <f>IF(Okt!$P15&gt;0,"K",IF(Okt!$Q15&gt;0,"U",IF(Okt!$U15="","",Okt!$U15)))</f>
        <v/>
      </c>
      <c r="V16" s="319">
        <f t="shared" si="10"/>
        <v>45968</v>
      </c>
      <c r="W16" s="320" t="str">
        <f>IF(Nov!$P15&gt;0,"K",IF(Nov!$Q15&gt;0,"U",IF(Nov!$U15="","",Nov!$U15)))</f>
        <v/>
      </c>
      <c r="X16" s="319">
        <f t="shared" si="11"/>
        <v>45998</v>
      </c>
      <c r="Y16" s="325" t="str">
        <f>IF(Dez!$P15&gt;0,"K",IF(Dez!$Q15&gt;0,"U",IF(Dez!$U15="","",Dez!$U15)))</f>
        <v/>
      </c>
    </row>
    <row r="17" spans="1:25" ht="12.4" customHeight="1">
      <c r="A17" s="91">
        <f>Datenblatt!A52</f>
        <v>45806</v>
      </c>
      <c r="B17" s="319">
        <f t="shared" si="0"/>
        <v>45665</v>
      </c>
      <c r="C17" s="320" t="str">
        <f>IF(Jän!$P16&gt;0,"K",IF(Jän!$Q16&gt;0,"U",IF(Jän!$U16="","",Jän!$U16)))</f>
        <v/>
      </c>
      <c r="D17" s="319">
        <f t="shared" si="1"/>
        <v>45696</v>
      </c>
      <c r="E17" s="320" t="str">
        <f>IF(Feb!$P16&gt;0,"K",IF(Feb!$Q16&gt;0,"U",IF(Feb!$U16="","",Feb!$U16)))</f>
        <v/>
      </c>
      <c r="F17" s="319">
        <f t="shared" si="2"/>
        <v>45724</v>
      </c>
      <c r="G17" s="320" t="str">
        <f>IF(März!$P16&gt;0,"K",IF(März!$Q16&gt;0,"U",IF(März!$U16="","",März!$U16)))</f>
        <v/>
      </c>
      <c r="H17" s="319">
        <f t="shared" si="3"/>
        <v>45755</v>
      </c>
      <c r="I17" s="320" t="str">
        <f>IF(April!$P16&gt;0,"K",IF(April!$Q16&gt;0,"U",IF(April!$U16="","",April!$U16)))</f>
        <v/>
      </c>
      <c r="J17" s="319">
        <f t="shared" si="4"/>
        <v>45785</v>
      </c>
      <c r="K17" s="320" t="str">
        <f>IF(Mai!$P16&gt;0,"K",IF(Mai!$Q16&gt;0,"U",IF(Mai!$U16="","",Mai!$U16)))</f>
        <v/>
      </c>
      <c r="L17" s="319">
        <f t="shared" si="5"/>
        <v>45816</v>
      </c>
      <c r="M17" s="320" t="str">
        <f>IF(Juni!$P16&gt;0,"K",IF(Juni!$Q16&gt;0,"U",IF(Juni!$U16="","",Juni!$U16)))</f>
        <v/>
      </c>
      <c r="N17" s="319">
        <f t="shared" si="6"/>
        <v>45846</v>
      </c>
      <c r="O17" s="320" t="str">
        <f>IF(Juli!$P16&gt;0,"K",IF(Juli!$Q16&gt;0,"U",IF(Juli!$U16="","",Juli!$U16)))</f>
        <v/>
      </c>
      <c r="P17" s="319">
        <f t="shared" si="7"/>
        <v>45877</v>
      </c>
      <c r="Q17" s="320" t="str">
        <f>IF(Aug!$P16&gt;0,"K",IF(Aug!$Q16&gt;0,"U",IF(Aug!$U16="","",Aug!$U16)))</f>
        <v/>
      </c>
      <c r="R17" s="319">
        <f t="shared" si="8"/>
        <v>45908</v>
      </c>
      <c r="S17" s="320" t="str">
        <f>IF(Sept!$P16&gt;0,"K",IF(Sept!$Q16&gt;0,"U",IF(Sept!$U16="","",Sept!$U16)))</f>
        <v/>
      </c>
      <c r="T17" s="319">
        <f t="shared" si="9"/>
        <v>45938</v>
      </c>
      <c r="U17" s="320" t="str">
        <f>IF(Okt!$P16&gt;0,"K",IF(Okt!$Q16&gt;0,"U",IF(Okt!$U16="","",Okt!$U16)))</f>
        <v/>
      </c>
      <c r="V17" s="319">
        <f t="shared" si="10"/>
        <v>45969</v>
      </c>
      <c r="W17" s="320" t="str">
        <f>IF(Nov!$P16&gt;0,"K",IF(Nov!$Q16&gt;0,"U",IF(Nov!$U16="","",Nov!$U16)))</f>
        <v/>
      </c>
      <c r="X17" s="319">
        <f t="shared" si="11"/>
        <v>45999</v>
      </c>
      <c r="Y17" s="325" t="str">
        <f>IF(Dez!$P16&gt;0,"K",IF(Dez!$Q16&gt;0,"U",IF(Dez!$U16="","",Dez!$U16)))</f>
        <v/>
      </c>
    </row>
    <row r="18" spans="1:25" ht="12.4" customHeight="1">
      <c r="A18" s="91">
        <f>Datenblatt!A53</f>
        <v>45816</v>
      </c>
      <c r="B18" s="319">
        <f t="shared" si="0"/>
        <v>45666</v>
      </c>
      <c r="C18" s="320" t="str">
        <f>IF(Jän!$P17&gt;0,"K",IF(Jän!$Q17&gt;0,"U",IF(Jän!$U17="","",Jän!$U17)))</f>
        <v/>
      </c>
      <c r="D18" s="319">
        <f t="shared" si="1"/>
        <v>45697</v>
      </c>
      <c r="E18" s="320" t="str">
        <f>IF(Feb!$P17&gt;0,"K",IF(Feb!$Q17&gt;0,"U",IF(Feb!$U17="","",Feb!$U17)))</f>
        <v/>
      </c>
      <c r="F18" s="319">
        <f t="shared" si="2"/>
        <v>45725</v>
      </c>
      <c r="G18" s="320" t="str">
        <f>IF(März!$P17&gt;0,"K",IF(März!$Q17&gt;0,"U",IF(März!$U17="","",März!$U17)))</f>
        <v/>
      </c>
      <c r="H18" s="319">
        <f t="shared" si="3"/>
        <v>45756</v>
      </c>
      <c r="I18" s="320" t="str">
        <f>IF(April!$P17&gt;0,"K",IF(April!$Q17&gt;0,"U",IF(April!$U17="","",April!$U17)))</f>
        <v/>
      </c>
      <c r="J18" s="319">
        <f t="shared" si="4"/>
        <v>45786</v>
      </c>
      <c r="K18" s="320" t="str">
        <f>IF(Mai!$P17&gt;0,"K",IF(Mai!$Q17&gt;0,"U",IF(Mai!$U17="","",Mai!$U17)))</f>
        <v/>
      </c>
      <c r="L18" s="319">
        <f t="shared" si="5"/>
        <v>45817</v>
      </c>
      <c r="M18" s="320" t="str">
        <f>IF(Juni!$P17&gt;0,"K",IF(Juni!$Q17&gt;0,"U",IF(Juni!$U17="","",Juni!$U17)))</f>
        <v/>
      </c>
      <c r="N18" s="319">
        <f t="shared" si="6"/>
        <v>45847</v>
      </c>
      <c r="O18" s="320" t="str">
        <f>IF(Juli!$P17&gt;0,"K",IF(Juli!$Q17&gt;0,"U",IF(Juli!$U17="","",Juli!$U17)))</f>
        <v/>
      </c>
      <c r="P18" s="319">
        <f t="shared" si="7"/>
        <v>45878</v>
      </c>
      <c r="Q18" s="320" t="str">
        <f>IF(Aug!$P17&gt;0,"K",IF(Aug!$Q17&gt;0,"U",IF(Aug!$U17="","",Aug!$U17)))</f>
        <v/>
      </c>
      <c r="R18" s="319">
        <f t="shared" si="8"/>
        <v>45909</v>
      </c>
      <c r="S18" s="320" t="str">
        <f>IF(Sept!$P17&gt;0,"K",IF(Sept!$Q17&gt;0,"U",IF(Sept!$U17="","",Sept!$U17)))</f>
        <v/>
      </c>
      <c r="T18" s="319">
        <f t="shared" si="9"/>
        <v>45939</v>
      </c>
      <c r="U18" s="320" t="str">
        <f>IF(Okt!$P17&gt;0,"K",IF(Okt!$Q17&gt;0,"U",IF(Okt!$U17="","",Okt!$U17)))</f>
        <v/>
      </c>
      <c r="V18" s="319">
        <f t="shared" si="10"/>
        <v>45970</v>
      </c>
      <c r="W18" s="320" t="str">
        <f>IF(Nov!$P17&gt;0,"K",IF(Nov!$Q17&gt;0,"U",IF(Nov!$U17="","",Nov!$U17)))</f>
        <v/>
      </c>
      <c r="X18" s="319">
        <f t="shared" si="11"/>
        <v>46000</v>
      </c>
      <c r="Y18" s="325" t="str">
        <f>IF(Dez!$P17&gt;0,"K",IF(Dez!$Q17&gt;0,"U",IF(Dez!$U17="","",Dez!$U17)))</f>
        <v/>
      </c>
    </row>
    <row r="19" spans="1:25" ht="12.4" customHeight="1">
      <c r="A19" s="91">
        <f>Datenblatt!A54</f>
        <v>45817</v>
      </c>
      <c r="B19" s="319">
        <f t="shared" si="0"/>
        <v>45667</v>
      </c>
      <c r="C19" s="320" t="str">
        <f>IF(Jän!$P18&gt;0,"K",IF(Jän!$Q18&gt;0,"U",IF(Jän!$U18="","",Jän!$U18)))</f>
        <v/>
      </c>
      <c r="D19" s="319">
        <f t="shared" si="1"/>
        <v>45698</v>
      </c>
      <c r="E19" s="320" t="str">
        <f>IF(Feb!$P18&gt;0,"K",IF(Feb!$Q18&gt;0,"U",IF(Feb!$U18="","",Feb!$U18)))</f>
        <v/>
      </c>
      <c r="F19" s="319">
        <f t="shared" si="2"/>
        <v>45726</v>
      </c>
      <c r="G19" s="320" t="str">
        <f>IF(März!$P18&gt;0,"K",IF(März!$Q18&gt;0,"U",IF(März!$U18="","",März!$U18)))</f>
        <v/>
      </c>
      <c r="H19" s="319">
        <f t="shared" si="3"/>
        <v>45757</v>
      </c>
      <c r="I19" s="320" t="str">
        <f>IF(April!$P18&gt;0,"K",IF(April!$Q18&gt;0,"U",IF(April!$U18="","",April!$U18)))</f>
        <v/>
      </c>
      <c r="J19" s="319">
        <f t="shared" si="4"/>
        <v>45787</v>
      </c>
      <c r="K19" s="320" t="str">
        <f>IF(Mai!$P18&gt;0,"K",IF(Mai!$Q18&gt;0,"U",IF(Mai!$U18="","",Mai!$U18)))</f>
        <v/>
      </c>
      <c r="L19" s="319">
        <f t="shared" si="5"/>
        <v>45818</v>
      </c>
      <c r="M19" s="320" t="str">
        <f>IF(Juni!$P18&gt;0,"K",IF(Juni!$Q18&gt;0,"U",IF(Juni!$U18="","",Juni!$U18)))</f>
        <v/>
      </c>
      <c r="N19" s="319">
        <f t="shared" si="6"/>
        <v>45848</v>
      </c>
      <c r="O19" s="320" t="str">
        <f>IF(Juli!$P18&gt;0,"K",IF(Juli!$Q18&gt;0,"U",IF(Juli!$U18="","",Juli!$U18)))</f>
        <v/>
      </c>
      <c r="P19" s="319">
        <f t="shared" si="7"/>
        <v>45879</v>
      </c>
      <c r="Q19" s="320" t="str">
        <f>IF(Aug!$P18&gt;0,"K",IF(Aug!$Q18&gt;0,"U",IF(Aug!$U18="","",Aug!$U18)))</f>
        <v/>
      </c>
      <c r="R19" s="319">
        <f t="shared" si="8"/>
        <v>45910</v>
      </c>
      <c r="S19" s="320" t="str">
        <f>IF(Sept!$P18&gt;0,"K",IF(Sept!$Q18&gt;0,"U",IF(Sept!$U18="","",Sept!$U18)))</f>
        <v/>
      </c>
      <c r="T19" s="319">
        <f t="shared" si="9"/>
        <v>45940</v>
      </c>
      <c r="U19" s="320" t="str">
        <f>IF(Okt!$P18&gt;0,"K",IF(Okt!$Q18&gt;0,"U",IF(Okt!$U18="","",Okt!$U18)))</f>
        <v/>
      </c>
      <c r="V19" s="319">
        <f t="shared" si="10"/>
        <v>45971</v>
      </c>
      <c r="W19" s="320" t="str">
        <f>IF(Nov!$P18&gt;0,"K",IF(Nov!$Q18&gt;0,"U",IF(Nov!$U18="","",Nov!$U18)))</f>
        <v/>
      </c>
      <c r="X19" s="319">
        <f t="shared" si="11"/>
        <v>46001</v>
      </c>
      <c r="Y19" s="325" t="str">
        <f>IF(Dez!$P18&gt;0,"K",IF(Dez!$Q18&gt;0,"U",IF(Dez!$U18="","",Dez!$U18)))</f>
        <v/>
      </c>
    </row>
    <row r="20" spans="1:25" ht="12.4" customHeight="1">
      <c r="A20" s="91">
        <f>Datenblatt!A56</f>
        <v>45827</v>
      </c>
      <c r="B20" s="319">
        <f t="shared" si="0"/>
        <v>45668</v>
      </c>
      <c r="C20" s="320" t="str">
        <f>IF(Jän!$P19&gt;0,"K",IF(Jän!$Q19&gt;0,"U",IF(Jän!$U19="","",Jän!$U19)))</f>
        <v/>
      </c>
      <c r="D20" s="319">
        <f t="shared" si="1"/>
        <v>45699</v>
      </c>
      <c r="E20" s="320" t="str">
        <f>IF(Feb!$P19&gt;0,"K",IF(Feb!$Q19&gt;0,"U",IF(Feb!$U19="","",Feb!$U19)))</f>
        <v/>
      </c>
      <c r="F20" s="319">
        <f t="shared" si="2"/>
        <v>45727</v>
      </c>
      <c r="G20" s="320" t="str">
        <f>IF(März!$P19&gt;0,"K",IF(März!$Q19&gt;0,"U",IF(März!$U19="","",März!$U19)))</f>
        <v/>
      </c>
      <c r="H20" s="319">
        <f t="shared" si="3"/>
        <v>45758</v>
      </c>
      <c r="I20" s="320" t="str">
        <f>IF(April!$P19&gt;0,"K",IF(April!$Q19&gt;0,"U",IF(April!$U19="","",April!$U19)))</f>
        <v/>
      </c>
      <c r="J20" s="319">
        <f t="shared" si="4"/>
        <v>45788</v>
      </c>
      <c r="K20" s="320" t="str">
        <f>IF(Mai!$P19&gt;0,"K",IF(Mai!$Q19&gt;0,"U",IF(Mai!$U19="","",Mai!$U19)))</f>
        <v/>
      </c>
      <c r="L20" s="319">
        <f t="shared" si="5"/>
        <v>45819</v>
      </c>
      <c r="M20" s="320" t="str">
        <f>IF(Juni!$P19&gt;0,"K",IF(Juni!$Q19&gt;0,"U",IF(Juni!$U19="","",Juni!$U19)))</f>
        <v/>
      </c>
      <c r="N20" s="319">
        <f t="shared" si="6"/>
        <v>45849</v>
      </c>
      <c r="O20" s="320" t="str">
        <f>IF(Juli!$P19&gt;0,"K",IF(Juli!$Q19&gt;0,"U",IF(Juli!$U19="","",Juli!$U19)))</f>
        <v/>
      </c>
      <c r="P20" s="319">
        <f t="shared" si="7"/>
        <v>45880</v>
      </c>
      <c r="Q20" s="320" t="str">
        <f>IF(Aug!$P19&gt;0,"K",IF(Aug!$Q19&gt;0,"U",IF(Aug!$U19="","",Aug!$U19)))</f>
        <v/>
      </c>
      <c r="R20" s="319">
        <f t="shared" si="8"/>
        <v>45911</v>
      </c>
      <c r="S20" s="320" t="str">
        <f>IF(Sept!$P19&gt;0,"K",IF(Sept!$Q19&gt;0,"U",IF(Sept!$U19="","",Sept!$U19)))</f>
        <v/>
      </c>
      <c r="T20" s="319">
        <f t="shared" si="9"/>
        <v>45941</v>
      </c>
      <c r="U20" s="320" t="str">
        <f>IF(Okt!$P19&gt;0,"K",IF(Okt!$Q19&gt;0,"U",IF(Okt!$U19="","",Okt!$U19)))</f>
        <v/>
      </c>
      <c r="V20" s="319">
        <f t="shared" si="10"/>
        <v>45972</v>
      </c>
      <c r="W20" s="320" t="str">
        <f>IF(Nov!$P19&gt;0,"K",IF(Nov!$Q19&gt;0,"U",IF(Nov!$U19="","",Nov!$U19)))</f>
        <v/>
      </c>
      <c r="X20" s="319">
        <f t="shared" si="11"/>
        <v>46002</v>
      </c>
      <c r="Y20" s="325" t="str">
        <f>IF(Dez!$P19&gt;0,"K",IF(Dez!$Q19&gt;0,"U",IF(Dez!$U19="","",Dez!$U19)))</f>
        <v/>
      </c>
    </row>
    <row r="21" spans="1:25" ht="12.4" customHeight="1">
      <c r="A21" s="91">
        <f>Datenblatt!A57</f>
        <v>45884</v>
      </c>
      <c r="B21" s="319">
        <f t="shared" si="0"/>
        <v>45669</v>
      </c>
      <c r="C21" s="320" t="str">
        <f>IF(Jän!$P20&gt;0,"K",IF(Jän!$Q20&gt;0,"U",IF(Jän!$U20="","",Jän!$U20)))</f>
        <v/>
      </c>
      <c r="D21" s="319">
        <f t="shared" si="1"/>
        <v>45700</v>
      </c>
      <c r="E21" s="320" t="str">
        <f>IF(Feb!$P20&gt;0,"K",IF(Feb!$Q20&gt;0,"U",IF(Feb!$U20="","",Feb!$U20)))</f>
        <v/>
      </c>
      <c r="F21" s="319">
        <f t="shared" si="2"/>
        <v>45728</v>
      </c>
      <c r="G21" s="320" t="str">
        <f>IF(März!$P20&gt;0,"K",IF(März!$Q20&gt;0,"U",IF(März!$U20="","",März!$U20)))</f>
        <v/>
      </c>
      <c r="H21" s="319">
        <f t="shared" si="3"/>
        <v>45759</v>
      </c>
      <c r="I21" s="320" t="str">
        <f>IF(April!$P20&gt;0,"K",IF(April!$Q20&gt;0,"U",IF(April!$U20="","",April!$U20)))</f>
        <v/>
      </c>
      <c r="J21" s="319">
        <f t="shared" si="4"/>
        <v>45789</v>
      </c>
      <c r="K21" s="320" t="str">
        <f>IF(Mai!$P20&gt;0,"K",IF(Mai!$Q20&gt;0,"U",IF(Mai!$U20="","",Mai!$U20)))</f>
        <v/>
      </c>
      <c r="L21" s="319">
        <f t="shared" si="5"/>
        <v>45820</v>
      </c>
      <c r="M21" s="320" t="str">
        <f>IF(Juni!$P20&gt;0,"K",IF(Juni!$Q20&gt;0,"U",IF(Juni!$U20="","",Juni!$U20)))</f>
        <v/>
      </c>
      <c r="N21" s="319">
        <f t="shared" si="6"/>
        <v>45850</v>
      </c>
      <c r="O21" s="320" t="str">
        <f>IF(Juli!$P20&gt;0,"K",IF(Juli!$Q20&gt;0,"U",IF(Juli!$U20="","",Juli!$U20)))</f>
        <v/>
      </c>
      <c r="P21" s="319">
        <f t="shared" si="7"/>
        <v>45881</v>
      </c>
      <c r="Q21" s="320" t="str">
        <f>IF(Aug!$P20&gt;0,"K",IF(Aug!$Q20&gt;0,"U",IF(Aug!$U20="","",Aug!$U20)))</f>
        <v/>
      </c>
      <c r="R21" s="319">
        <f t="shared" si="8"/>
        <v>45912</v>
      </c>
      <c r="S21" s="320" t="str">
        <f>IF(Sept!$P20&gt;0,"K",IF(Sept!$Q20&gt;0,"U",IF(Sept!$U20="","",Sept!$U20)))</f>
        <v/>
      </c>
      <c r="T21" s="319">
        <f t="shared" si="9"/>
        <v>45942</v>
      </c>
      <c r="U21" s="320" t="str">
        <f>IF(Okt!$P20&gt;0,"K",IF(Okt!$Q20&gt;0,"U",IF(Okt!$U20="","",Okt!$U20)))</f>
        <v/>
      </c>
      <c r="V21" s="319">
        <f t="shared" si="10"/>
        <v>45973</v>
      </c>
      <c r="W21" s="320" t="str">
        <f>IF(Nov!$P20&gt;0,"K",IF(Nov!$Q20&gt;0,"U",IF(Nov!$U20="","",Nov!$U20)))</f>
        <v/>
      </c>
      <c r="X21" s="319">
        <f t="shared" si="11"/>
        <v>46003</v>
      </c>
      <c r="Y21" s="325" t="str">
        <f>IF(Dez!$P20&gt;0,"K",IF(Dez!$Q20&gt;0,"U",IF(Dez!$U20="","",Dez!$U20)))</f>
        <v/>
      </c>
    </row>
    <row r="22" spans="1:25" ht="12.4" customHeight="1">
      <c r="A22" s="91">
        <f>Datenblatt!A58</f>
        <v>45956</v>
      </c>
      <c r="B22" s="319">
        <f t="shared" si="0"/>
        <v>45670</v>
      </c>
      <c r="C22" s="320" t="str">
        <f>IF(Jän!$P21&gt;0,"K",IF(Jän!$Q21&gt;0,"U",IF(Jän!$U21="","",Jän!$U21)))</f>
        <v/>
      </c>
      <c r="D22" s="319">
        <f t="shared" si="1"/>
        <v>45701</v>
      </c>
      <c r="E22" s="320" t="str">
        <f>IF(Feb!$P21&gt;0,"K",IF(Feb!$Q21&gt;0,"U",IF(Feb!$U21="","",Feb!$U21)))</f>
        <v/>
      </c>
      <c r="F22" s="319">
        <f t="shared" si="2"/>
        <v>45729</v>
      </c>
      <c r="G22" s="320" t="str">
        <f>IF(März!$P21&gt;0,"K",IF(März!$Q21&gt;0,"U",IF(März!$U21="","",März!$U21)))</f>
        <v/>
      </c>
      <c r="H22" s="319">
        <f t="shared" si="3"/>
        <v>45760</v>
      </c>
      <c r="I22" s="320" t="str">
        <f>IF(April!$P21&gt;0,"K",IF(April!$Q21&gt;0,"U",IF(April!$U21="","",April!$U21)))</f>
        <v/>
      </c>
      <c r="J22" s="319">
        <f t="shared" si="4"/>
        <v>45790</v>
      </c>
      <c r="K22" s="320" t="str">
        <f>IF(Mai!$P21&gt;0,"K",IF(Mai!$Q21&gt;0,"U",IF(Mai!$U21="","",Mai!$U21)))</f>
        <v/>
      </c>
      <c r="L22" s="319">
        <f t="shared" si="5"/>
        <v>45821</v>
      </c>
      <c r="M22" s="320" t="str">
        <f>IF(Juni!$P21&gt;0,"K",IF(Juni!$Q21&gt;0,"U",IF(Juni!$U21="","",Juni!$U21)))</f>
        <v/>
      </c>
      <c r="N22" s="319">
        <f t="shared" si="6"/>
        <v>45851</v>
      </c>
      <c r="O22" s="320" t="str">
        <f>IF(Juli!$P21&gt;0,"K",IF(Juli!$Q21&gt;0,"U",IF(Juli!$U21="","",Juli!$U21)))</f>
        <v/>
      </c>
      <c r="P22" s="319">
        <f t="shared" si="7"/>
        <v>45882</v>
      </c>
      <c r="Q22" s="320" t="str">
        <f>IF(Aug!$P21&gt;0,"K",IF(Aug!$Q21&gt;0,"U",IF(Aug!$U21="","",Aug!$U21)))</f>
        <v/>
      </c>
      <c r="R22" s="319">
        <f t="shared" si="8"/>
        <v>45913</v>
      </c>
      <c r="S22" s="320" t="str">
        <f>IF(Sept!$P21&gt;0,"K",IF(Sept!$Q21&gt;0,"U",IF(Sept!$U21="","",Sept!$U21)))</f>
        <v/>
      </c>
      <c r="T22" s="319">
        <f t="shared" si="9"/>
        <v>45943</v>
      </c>
      <c r="U22" s="320" t="str">
        <f>IF(Okt!$P21&gt;0,"K",IF(Okt!$Q21&gt;0,"U",IF(Okt!$U21="","",Okt!$U21)))</f>
        <v/>
      </c>
      <c r="V22" s="319">
        <f t="shared" si="10"/>
        <v>45974</v>
      </c>
      <c r="W22" s="320" t="str">
        <f>IF(Nov!$P21&gt;0,"K",IF(Nov!$Q21&gt;0,"U",IF(Nov!$U21="","",Nov!$U21)))</f>
        <v/>
      </c>
      <c r="X22" s="319">
        <f t="shared" si="11"/>
        <v>46004</v>
      </c>
      <c r="Y22" s="325" t="str">
        <f>IF(Dez!$P21&gt;0,"K",IF(Dez!$Q21&gt;0,"U",IF(Dez!$U21="","",Dez!$U21)))</f>
        <v/>
      </c>
    </row>
    <row r="23" spans="1:25" ht="12.4" customHeight="1">
      <c r="A23" s="91">
        <f>Datenblatt!A59</f>
        <v>45962</v>
      </c>
      <c r="B23" s="319">
        <f t="shared" si="0"/>
        <v>45671</v>
      </c>
      <c r="C23" s="320" t="str">
        <f>IF(Jän!$P22&gt;0,"K",IF(Jän!$Q22&gt;0,"U",IF(Jän!$U22="","",Jän!$U22)))</f>
        <v/>
      </c>
      <c r="D23" s="319">
        <f t="shared" si="1"/>
        <v>45702</v>
      </c>
      <c r="E23" s="320" t="str">
        <f>IF(Feb!$P22&gt;0,"K",IF(Feb!$Q22&gt;0,"U",IF(Feb!$U22="","",Feb!$U22)))</f>
        <v/>
      </c>
      <c r="F23" s="319">
        <f t="shared" si="2"/>
        <v>45730</v>
      </c>
      <c r="G23" s="320" t="str">
        <f>IF(März!$P22&gt;0,"K",IF(März!$Q22&gt;0,"U",IF(März!$U22="","",März!$U22)))</f>
        <v/>
      </c>
      <c r="H23" s="319">
        <f t="shared" si="3"/>
        <v>45761</v>
      </c>
      <c r="I23" s="320" t="str">
        <f>IF(April!$P22&gt;0,"K",IF(April!$Q22&gt;0,"U",IF(April!$U22="","",April!$U22)))</f>
        <v/>
      </c>
      <c r="J23" s="319">
        <f t="shared" si="4"/>
        <v>45791</v>
      </c>
      <c r="K23" s="320" t="str">
        <f>IF(Mai!$P22&gt;0,"K",IF(Mai!$Q22&gt;0,"U",IF(Mai!$U22="","",Mai!$U22)))</f>
        <v/>
      </c>
      <c r="L23" s="319">
        <f t="shared" si="5"/>
        <v>45822</v>
      </c>
      <c r="M23" s="320" t="str">
        <f>IF(Juni!$P22&gt;0,"K",IF(Juni!$Q22&gt;0,"U",IF(Juni!$U22="","",Juni!$U22)))</f>
        <v/>
      </c>
      <c r="N23" s="319">
        <f t="shared" si="6"/>
        <v>45852</v>
      </c>
      <c r="O23" s="320" t="str">
        <f>IF(Juli!$P22&gt;0,"K",IF(Juli!$Q22&gt;0,"U",IF(Juli!$U22="","",Juli!$U22)))</f>
        <v/>
      </c>
      <c r="P23" s="319">
        <f t="shared" si="7"/>
        <v>45883</v>
      </c>
      <c r="Q23" s="320" t="str">
        <f>IF(Aug!$P22&gt;0,"K",IF(Aug!$Q22&gt;0,"U",IF(Aug!$U22="","",Aug!$U22)))</f>
        <v/>
      </c>
      <c r="R23" s="319">
        <f t="shared" si="8"/>
        <v>45914</v>
      </c>
      <c r="S23" s="320" t="str">
        <f>IF(Sept!$P22&gt;0,"K",IF(Sept!$Q22&gt;0,"U",IF(Sept!$U22="","",Sept!$U22)))</f>
        <v/>
      </c>
      <c r="T23" s="319">
        <f t="shared" si="9"/>
        <v>45944</v>
      </c>
      <c r="U23" s="320" t="str">
        <f>IF(Okt!$P22&gt;0,"K",IF(Okt!$Q22&gt;0,"U",IF(Okt!$U22="","",Okt!$U22)))</f>
        <v/>
      </c>
      <c r="V23" s="319">
        <f t="shared" si="10"/>
        <v>45975</v>
      </c>
      <c r="W23" s="320" t="str">
        <f>IF(Nov!$P22&gt;0,"K",IF(Nov!$Q22&gt;0,"U",IF(Nov!$U22="","",Nov!$U22)))</f>
        <v/>
      </c>
      <c r="X23" s="319">
        <f t="shared" si="11"/>
        <v>46005</v>
      </c>
      <c r="Y23" s="325" t="str">
        <f>IF(Dez!$P22&gt;0,"K",IF(Dez!$Q22&gt;0,"U",IF(Dez!$U22="","",Dez!$U22)))</f>
        <v/>
      </c>
    </row>
    <row r="24" spans="1:25" ht="12.4" customHeight="1">
      <c r="A24" s="91" t="str">
        <f>Datenblatt!A60</f>
        <v>nicht frei</v>
      </c>
      <c r="B24" s="319">
        <f t="shared" si="0"/>
        <v>45672</v>
      </c>
      <c r="C24" s="320" t="str">
        <f>IF(Jän!$P23&gt;0,"K",IF(Jän!$Q23&gt;0,"U",IF(Jän!$U23="","",Jän!$U23)))</f>
        <v/>
      </c>
      <c r="D24" s="319">
        <f t="shared" si="1"/>
        <v>45703</v>
      </c>
      <c r="E24" s="320" t="str">
        <f>IF(Feb!$P23&gt;0,"K",IF(Feb!$Q23&gt;0,"U",IF(Feb!$U23="","",Feb!$U23)))</f>
        <v/>
      </c>
      <c r="F24" s="319">
        <f t="shared" si="2"/>
        <v>45731</v>
      </c>
      <c r="G24" s="320" t="str">
        <f>IF(März!$P23&gt;0,"K",IF(März!$Q23&gt;0,"U",IF(März!$U23="","",März!$U23)))</f>
        <v/>
      </c>
      <c r="H24" s="319">
        <f t="shared" si="3"/>
        <v>45762</v>
      </c>
      <c r="I24" s="320" t="str">
        <f>IF(April!$P23&gt;0,"K",IF(April!$Q23&gt;0,"U",IF(April!$U23="","",April!$U23)))</f>
        <v/>
      </c>
      <c r="J24" s="319">
        <f t="shared" si="4"/>
        <v>45792</v>
      </c>
      <c r="K24" s="320" t="str">
        <f>IF(Mai!$P23&gt;0,"K",IF(Mai!$Q23&gt;0,"U",IF(Mai!$U23="","",Mai!$U23)))</f>
        <v/>
      </c>
      <c r="L24" s="319">
        <f t="shared" si="5"/>
        <v>45823</v>
      </c>
      <c r="M24" s="320" t="str">
        <f>IF(Juni!$P23&gt;0,"K",IF(Juni!$Q23&gt;0,"U",IF(Juni!$U23="","",Juni!$U23)))</f>
        <v/>
      </c>
      <c r="N24" s="319">
        <f t="shared" si="6"/>
        <v>45853</v>
      </c>
      <c r="O24" s="320" t="str">
        <f>IF(Juli!$P23&gt;0,"K",IF(Juli!$Q23&gt;0,"U",IF(Juli!$U23="","",Juli!$U23)))</f>
        <v/>
      </c>
      <c r="P24" s="319">
        <f t="shared" si="7"/>
        <v>45884</v>
      </c>
      <c r="Q24" s="320" t="str">
        <f>IF(Aug!$P23&gt;0,"K",IF(Aug!$Q23&gt;0,"U",IF(Aug!$U23="","",Aug!$U23)))</f>
        <v/>
      </c>
      <c r="R24" s="319">
        <f t="shared" si="8"/>
        <v>45915</v>
      </c>
      <c r="S24" s="320" t="str">
        <f>IF(Sept!$P23&gt;0,"K",IF(Sept!$Q23&gt;0,"U",IF(Sept!$U23="","",Sept!$U23)))</f>
        <v/>
      </c>
      <c r="T24" s="319">
        <f t="shared" si="9"/>
        <v>45945</v>
      </c>
      <c r="U24" s="320" t="str">
        <f>IF(Okt!$P23&gt;0,"K",IF(Okt!$Q23&gt;0,"U",IF(Okt!$U23="","",Okt!$U23)))</f>
        <v/>
      </c>
      <c r="V24" s="319">
        <f t="shared" si="10"/>
        <v>45976</v>
      </c>
      <c r="W24" s="320" t="str">
        <f>IF(Nov!$P23&gt;0,"K",IF(Nov!$Q23&gt;0,"U",IF(Nov!$U23="","",Nov!$U23)))</f>
        <v/>
      </c>
      <c r="X24" s="319">
        <f t="shared" si="11"/>
        <v>46006</v>
      </c>
      <c r="Y24" s="325" t="str">
        <f>IF(Dez!$P23&gt;0,"K",IF(Dez!$Q23&gt;0,"U",IF(Dez!$U23="","",Dez!$U23)))</f>
        <v/>
      </c>
    </row>
    <row r="25" spans="1:25" ht="12.4" customHeight="1">
      <c r="A25" s="91">
        <f>Datenblatt!A61</f>
        <v>45999</v>
      </c>
      <c r="B25" s="319">
        <f t="shared" si="0"/>
        <v>45673</v>
      </c>
      <c r="C25" s="320" t="str">
        <f>IF(Jän!$P24&gt;0,"K",IF(Jän!$Q24&gt;0,"U",IF(Jän!$U24="","",Jän!$U24)))</f>
        <v/>
      </c>
      <c r="D25" s="319">
        <f t="shared" si="1"/>
        <v>45704</v>
      </c>
      <c r="E25" s="320" t="str">
        <f>IF(Feb!$P24&gt;0,"K",IF(Feb!$Q24&gt;0,"U",IF(Feb!$U24="","",Feb!$U24)))</f>
        <v/>
      </c>
      <c r="F25" s="319">
        <f t="shared" si="2"/>
        <v>45732</v>
      </c>
      <c r="G25" s="320" t="str">
        <f>IF(März!$P24&gt;0,"K",IF(März!$Q24&gt;0,"U",IF(März!$U24="","",März!$U24)))</f>
        <v/>
      </c>
      <c r="H25" s="319">
        <f t="shared" si="3"/>
        <v>45763</v>
      </c>
      <c r="I25" s="320" t="str">
        <f>IF(April!$P24&gt;0,"K",IF(April!$Q24&gt;0,"U",IF(April!$U24="","",April!$U24)))</f>
        <v/>
      </c>
      <c r="J25" s="319">
        <f t="shared" si="4"/>
        <v>45793</v>
      </c>
      <c r="K25" s="320" t="str">
        <f>IF(Mai!$P24&gt;0,"K",IF(Mai!$Q24&gt;0,"U",IF(Mai!$U24="","",Mai!$U24)))</f>
        <v/>
      </c>
      <c r="L25" s="319">
        <f t="shared" si="5"/>
        <v>45824</v>
      </c>
      <c r="M25" s="320" t="str">
        <f>IF(Juni!$P24&gt;0,"K",IF(Juni!$Q24&gt;0,"U",IF(Juni!$U24="","",Juni!$U24)))</f>
        <v/>
      </c>
      <c r="N25" s="319">
        <f t="shared" si="6"/>
        <v>45854</v>
      </c>
      <c r="O25" s="320" t="str">
        <f>IF(Juli!$P24&gt;0,"K",IF(Juli!$Q24&gt;0,"U",IF(Juli!$U24="","",Juli!$U24)))</f>
        <v/>
      </c>
      <c r="P25" s="319">
        <f t="shared" si="7"/>
        <v>45885</v>
      </c>
      <c r="Q25" s="320" t="str">
        <f>IF(Aug!$P24&gt;0,"K",IF(Aug!$Q24&gt;0,"U",IF(Aug!$U24="","",Aug!$U24)))</f>
        <v/>
      </c>
      <c r="R25" s="319">
        <f t="shared" si="8"/>
        <v>45916</v>
      </c>
      <c r="S25" s="320" t="str">
        <f>IF(Sept!$P24&gt;0,"K",IF(Sept!$Q24&gt;0,"U",IF(Sept!$U24="","",Sept!$U24)))</f>
        <v/>
      </c>
      <c r="T25" s="319">
        <f t="shared" si="9"/>
        <v>45946</v>
      </c>
      <c r="U25" s="320" t="str">
        <f>IF(Okt!$P24&gt;0,"K",IF(Okt!$Q24&gt;0,"U",IF(Okt!$U24="","",Okt!$U24)))</f>
        <v/>
      </c>
      <c r="V25" s="319">
        <f t="shared" si="10"/>
        <v>45977</v>
      </c>
      <c r="W25" s="320" t="str">
        <f>IF(Nov!$P24&gt;0,"K",IF(Nov!$Q24&gt;0,"U",IF(Nov!$U24="","",Nov!$U24)))</f>
        <v/>
      </c>
      <c r="X25" s="319">
        <f t="shared" si="11"/>
        <v>46007</v>
      </c>
      <c r="Y25" s="325" t="str">
        <f>IF(Dez!$P24&gt;0,"K",IF(Dez!$Q24&gt;0,"U",IF(Dez!$U24="","",Dez!$U24)))</f>
        <v/>
      </c>
    </row>
    <row r="26" spans="1:25" ht="12.4" customHeight="1">
      <c r="A26" s="91" t="str">
        <f>Datenblatt!A62</f>
        <v>nicht frei</v>
      </c>
      <c r="B26" s="319">
        <f t="shared" si="0"/>
        <v>45674</v>
      </c>
      <c r="C26" s="320" t="str">
        <f>IF(Jän!$P25&gt;0,"K",IF(Jän!$Q25&gt;0,"U",IF(Jän!$U25="","",Jän!$U25)))</f>
        <v/>
      </c>
      <c r="D26" s="319">
        <f t="shared" si="1"/>
        <v>45705</v>
      </c>
      <c r="E26" s="320" t="str">
        <f>IF(Feb!$P25&gt;0,"K",IF(Feb!$Q25&gt;0,"U",IF(Feb!$U25="","",Feb!$U25)))</f>
        <v/>
      </c>
      <c r="F26" s="319">
        <f t="shared" si="2"/>
        <v>45733</v>
      </c>
      <c r="G26" s="320" t="str">
        <f>IF(März!$P25&gt;0,"K",IF(März!$Q25&gt;0,"U",IF(März!$U25="","",März!$U25)))</f>
        <v/>
      </c>
      <c r="H26" s="319">
        <f t="shared" si="3"/>
        <v>45764</v>
      </c>
      <c r="I26" s="320" t="str">
        <f>IF(April!$P25&gt;0,"K",IF(April!$Q25&gt;0,"U",IF(April!$U25="","",April!$U25)))</f>
        <v/>
      </c>
      <c r="J26" s="319">
        <f t="shared" si="4"/>
        <v>45794</v>
      </c>
      <c r="K26" s="320" t="str">
        <f>IF(Mai!$P25&gt;0,"K",IF(Mai!$Q25&gt;0,"U",IF(Mai!$U25="","",Mai!$U25)))</f>
        <v/>
      </c>
      <c r="L26" s="319">
        <f t="shared" si="5"/>
        <v>45825</v>
      </c>
      <c r="M26" s="320" t="str">
        <f>IF(Juni!$P25&gt;0,"K",IF(Juni!$Q25&gt;0,"U",IF(Juni!$U25="","",Juni!$U25)))</f>
        <v/>
      </c>
      <c r="N26" s="319">
        <f t="shared" si="6"/>
        <v>45855</v>
      </c>
      <c r="O26" s="320" t="str">
        <f>IF(Juli!$P25&gt;0,"K",IF(Juli!$Q25&gt;0,"U",IF(Juli!$U25="","",Juli!$U25)))</f>
        <v/>
      </c>
      <c r="P26" s="319">
        <f t="shared" si="7"/>
        <v>45886</v>
      </c>
      <c r="Q26" s="320" t="str">
        <f>IF(Aug!$P25&gt;0,"K",IF(Aug!$Q25&gt;0,"U",IF(Aug!$U25="","",Aug!$U25)))</f>
        <v/>
      </c>
      <c r="R26" s="319">
        <f t="shared" si="8"/>
        <v>45917</v>
      </c>
      <c r="S26" s="320" t="str">
        <f>IF(Sept!$P25&gt;0,"K",IF(Sept!$Q25&gt;0,"U",IF(Sept!$U25="","",Sept!$U25)))</f>
        <v/>
      </c>
      <c r="T26" s="319">
        <f t="shared" si="9"/>
        <v>45947</v>
      </c>
      <c r="U26" s="320" t="str">
        <f>IF(Okt!$P25&gt;0,"K",IF(Okt!$Q25&gt;0,"U",IF(Okt!$U25="","",Okt!$U25)))</f>
        <v/>
      </c>
      <c r="V26" s="319">
        <f t="shared" si="10"/>
        <v>45978</v>
      </c>
      <c r="W26" s="320" t="str">
        <f>IF(Nov!$P25&gt;0,"K",IF(Nov!$Q25&gt;0,"U",IF(Nov!$U25="","",Nov!$U25)))</f>
        <v/>
      </c>
      <c r="X26" s="319">
        <f t="shared" si="11"/>
        <v>46008</v>
      </c>
      <c r="Y26" s="325" t="str">
        <f>IF(Dez!$P25&gt;0,"K",IF(Dez!$Q25&gt;0,"U",IF(Dez!$U25="","",Dez!$U25)))</f>
        <v/>
      </c>
    </row>
    <row r="27" spans="1:25" ht="12.4" customHeight="1">
      <c r="A27" s="91">
        <f>Datenblatt!A63</f>
        <v>46016</v>
      </c>
      <c r="B27" s="319">
        <f t="shared" si="0"/>
        <v>45675</v>
      </c>
      <c r="C27" s="320" t="str">
        <f>IF(Jän!$P26&gt;0,"K",IF(Jän!$Q26&gt;0,"U",IF(Jän!$U26="","",Jän!$U26)))</f>
        <v/>
      </c>
      <c r="D27" s="319">
        <f t="shared" si="1"/>
        <v>45706</v>
      </c>
      <c r="E27" s="320" t="str">
        <f>IF(Feb!$P26&gt;0,"K",IF(Feb!$Q26&gt;0,"U",IF(Feb!$U26="","",Feb!$U26)))</f>
        <v/>
      </c>
      <c r="F27" s="319">
        <f t="shared" si="2"/>
        <v>45734</v>
      </c>
      <c r="G27" s="320" t="str">
        <f>IF(März!$P26&gt;0,"K",IF(März!$Q26&gt;0,"U",IF(März!$U26="","",März!$U26)))</f>
        <v/>
      </c>
      <c r="H27" s="319">
        <f t="shared" si="3"/>
        <v>45765</v>
      </c>
      <c r="I27" s="320" t="str">
        <f>IF(April!$P26&gt;0,"K",IF(April!$Q26&gt;0,"U",IF(April!$U26="","",April!$U26)))</f>
        <v/>
      </c>
      <c r="J27" s="319">
        <f t="shared" si="4"/>
        <v>45795</v>
      </c>
      <c r="K27" s="320" t="str">
        <f>IF(Mai!$P26&gt;0,"K",IF(Mai!$Q26&gt;0,"U",IF(Mai!$U26="","",Mai!$U26)))</f>
        <v/>
      </c>
      <c r="L27" s="319">
        <f t="shared" si="5"/>
        <v>45826</v>
      </c>
      <c r="M27" s="320" t="str">
        <f>IF(Juni!$P26&gt;0,"K",IF(Juni!$Q26&gt;0,"U",IF(Juni!$U26="","",Juni!$U26)))</f>
        <v/>
      </c>
      <c r="N27" s="319">
        <f t="shared" si="6"/>
        <v>45856</v>
      </c>
      <c r="O27" s="320" t="str">
        <f>IF(Juli!$P26&gt;0,"K",IF(Juli!$Q26&gt;0,"U",IF(Juli!$U26="","",Juli!$U26)))</f>
        <v/>
      </c>
      <c r="P27" s="319">
        <f t="shared" si="7"/>
        <v>45887</v>
      </c>
      <c r="Q27" s="320" t="str">
        <f>IF(Aug!$P26&gt;0,"K",IF(Aug!$Q26&gt;0,"U",IF(Aug!$U26="","",Aug!$U26)))</f>
        <v/>
      </c>
      <c r="R27" s="319">
        <f t="shared" si="8"/>
        <v>45918</v>
      </c>
      <c r="S27" s="320" t="str">
        <f>IF(Sept!$P26&gt;0,"K",IF(Sept!$Q26&gt;0,"U",IF(Sept!$U26="","",Sept!$U26)))</f>
        <v/>
      </c>
      <c r="T27" s="319">
        <f t="shared" si="9"/>
        <v>45948</v>
      </c>
      <c r="U27" s="320" t="str">
        <f>IF(Okt!$P26&gt;0,"K",IF(Okt!$Q26&gt;0,"U",IF(Okt!$U26="","",Okt!$U26)))</f>
        <v/>
      </c>
      <c r="V27" s="319">
        <f t="shared" si="10"/>
        <v>45979</v>
      </c>
      <c r="W27" s="320" t="str">
        <f>IF(Nov!$P26&gt;0,"K",IF(Nov!$Q26&gt;0,"U",IF(Nov!$U26="","",Nov!$U26)))</f>
        <v/>
      </c>
      <c r="X27" s="319">
        <f t="shared" si="11"/>
        <v>46009</v>
      </c>
      <c r="Y27" s="325" t="str">
        <f>IF(Dez!$P26&gt;0,"K",IF(Dez!$Q26&gt;0,"U",IF(Dez!$U26="","",Dez!$U26)))</f>
        <v/>
      </c>
    </row>
    <row r="28" spans="1:25" ht="12.4" customHeight="1">
      <c r="A28" s="91">
        <f>Datenblatt!A64</f>
        <v>46017</v>
      </c>
      <c r="B28" s="319">
        <f t="shared" si="0"/>
        <v>45676</v>
      </c>
      <c r="C28" s="320" t="str">
        <f>IF(Jän!$P27&gt;0,"K",IF(Jän!$Q27&gt;0,"U",IF(Jän!$U27="","",Jän!$U27)))</f>
        <v/>
      </c>
      <c r="D28" s="319">
        <f t="shared" si="1"/>
        <v>45707</v>
      </c>
      <c r="E28" s="320" t="str">
        <f>IF(Feb!$P27&gt;0,"K",IF(Feb!$Q27&gt;0,"U",IF(Feb!$U27="","",Feb!$U27)))</f>
        <v/>
      </c>
      <c r="F28" s="319">
        <f t="shared" si="2"/>
        <v>45735</v>
      </c>
      <c r="G28" s="320" t="str">
        <f>IF(März!$P27&gt;0,"K",IF(März!$Q27&gt;0,"U",IF(März!$U27="","",März!$U27)))</f>
        <v/>
      </c>
      <c r="H28" s="319">
        <f t="shared" si="3"/>
        <v>45766</v>
      </c>
      <c r="I28" s="320" t="str">
        <f>IF(April!$P27&gt;0,"K",IF(April!$Q27&gt;0,"U",IF(April!$U27="","",April!$U27)))</f>
        <v/>
      </c>
      <c r="J28" s="319">
        <f t="shared" si="4"/>
        <v>45796</v>
      </c>
      <c r="K28" s="320" t="str">
        <f>IF(Mai!$P27&gt;0,"K",IF(Mai!$Q27&gt;0,"U",IF(Mai!$U27="","",Mai!$U27)))</f>
        <v/>
      </c>
      <c r="L28" s="319">
        <f t="shared" si="5"/>
        <v>45827</v>
      </c>
      <c r="M28" s="320" t="str">
        <f>IF(Juni!$P27&gt;0,"K",IF(Juni!$Q27&gt;0,"U",IF(Juni!$U27="","",Juni!$U27)))</f>
        <v/>
      </c>
      <c r="N28" s="319">
        <f t="shared" si="6"/>
        <v>45857</v>
      </c>
      <c r="O28" s="320" t="str">
        <f>IF(Juli!$P27&gt;0,"K",IF(Juli!$Q27&gt;0,"U",IF(Juli!$U27="","",Juli!$U27)))</f>
        <v/>
      </c>
      <c r="P28" s="319">
        <f t="shared" si="7"/>
        <v>45888</v>
      </c>
      <c r="Q28" s="320" t="str">
        <f>IF(Aug!$P27&gt;0,"K",IF(Aug!$Q27&gt;0,"U",IF(Aug!$U27="","",Aug!$U27)))</f>
        <v/>
      </c>
      <c r="R28" s="319">
        <f t="shared" si="8"/>
        <v>45919</v>
      </c>
      <c r="S28" s="320" t="str">
        <f>IF(Sept!$P27&gt;0,"K",IF(Sept!$Q27&gt;0,"U",IF(Sept!$U27="","",Sept!$U27)))</f>
        <v/>
      </c>
      <c r="T28" s="319">
        <f t="shared" si="9"/>
        <v>45949</v>
      </c>
      <c r="U28" s="320" t="str">
        <f>IF(Okt!$P27&gt;0,"K",IF(Okt!$Q27&gt;0,"U",IF(Okt!$U27="","",Okt!$U27)))</f>
        <v/>
      </c>
      <c r="V28" s="319">
        <f t="shared" si="10"/>
        <v>45980</v>
      </c>
      <c r="W28" s="320" t="str">
        <f>IF(Nov!$P27&gt;0,"K",IF(Nov!$Q27&gt;0,"U",IF(Nov!$U27="","",Nov!$U27)))</f>
        <v/>
      </c>
      <c r="X28" s="319">
        <f t="shared" si="11"/>
        <v>46010</v>
      </c>
      <c r="Y28" s="325" t="str">
        <f>IF(Dez!$P27&gt;0,"K",IF(Dez!$Q27&gt;0,"U",IF(Dez!$U27="","",Dez!$U27)))</f>
        <v/>
      </c>
    </row>
    <row r="29" spans="1:25" ht="12.4" customHeight="1">
      <c r="A29" s="91" t="str">
        <f>Datenblatt!A65</f>
        <v>nicht frei</v>
      </c>
      <c r="B29" s="319">
        <f t="shared" si="0"/>
        <v>45677</v>
      </c>
      <c r="C29" s="320" t="str">
        <f>IF(Jän!$P28&gt;0,"K",IF(Jän!$Q28&gt;0,"U",IF(Jän!$U28="","",Jän!$U28)))</f>
        <v/>
      </c>
      <c r="D29" s="319">
        <f t="shared" si="1"/>
        <v>45708</v>
      </c>
      <c r="E29" s="320" t="str">
        <f>IF(Feb!$P28&gt;0,"K",IF(Feb!$Q28&gt;0,"U",IF(Feb!$U28="","",Feb!$U28)))</f>
        <v/>
      </c>
      <c r="F29" s="319">
        <f t="shared" si="2"/>
        <v>45736</v>
      </c>
      <c r="G29" s="320" t="str">
        <f>IF(März!$P28&gt;0,"K",IF(März!$Q28&gt;0,"U",IF(März!$U28="","",März!$U28)))</f>
        <v/>
      </c>
      <c r="H29" s="319">
        <f t="shared" si="3"/>
        <v>45767</v>
      </c>
      <c r="I29" s="320" t="str">
        <f>IF(April!$P28&gt;0,"K",IF(April!$Q28&gt;0,"U",IF(April!$U28="","",April!$U28)))</f>
        <v/>
      </c>
      <c r="J29" s="319">
        <f t="shared" si="4"/>
        <v>45797</v>
      </c>
      <c r="K29" s="320" t="str">
        <f>IF(Mai!$P28&gt;0,"K",IF(Mai!$Q28&gt;0,"U",IF(Mai!$U28="","",Mai!$U28)))</f>
        <v/>
      </c>
      <c r="L29" s="319">
        <f t="shared" si="5"/>
        <v>45828</v>
      </c>
      <c r="M29" s="320" t="str">
        <f>IF(Juni!$P28&gt;0,"K",IF(Juni!$Q28&gt;0,"U",IF(Juni!$U28="","",Juni!$U28)))</f>
        <v/>
      </c>
      <c r="N29" s="319">
        <f t="shared" si="6"/>
        <v>45858</v>
      </c>
      <c r="O29" s="320" t="str">
        <f>IF(Juli!$P28&gt;0,"K",IF(Juli!$Q28&gt;0,"U",IF(Juli!$U28="","",Juli!$U28)))</f>
        <v/>
      </c>
      <c r="P29" s="319">
        <f t="shared" si="7"/>
        <v>45889</v>
      </c>
      <c r="Q29" s="320" t="str">
        <f>IF(Aug!$P28&gt;0,"K",IF(Aug!$Q28&gt;0,"U",IF(Aug!$U28="","",Aug!$U28)))</f>
        <v/>
      </c>
      <c r="R29" s="319">
        <f t="shared" si="8"/>
        <v>45920</v>
      </c>
      <c r="S29" s="320" t="str">
        <f>IF(Sept!$P28&gt;0,"K",IF(Sept!$Q28&gt;0,"U",IF(Sept!$U28="","",Sept!$U28)))</f>
        <v/>
      </c>
      <c r="T29" s="319">
        <f t="shared" si="9"/>
        <v>45950</v>
      </c>
      <c r="U29" s="320" t="str">
        <f>IF(Okt!$P28&gt;0,"K",IF(Okt!$Q28&gt;0,"U",IF(Okt!$U28="","",Okt!$U28)))</f>
        <v/>
      </c>
      <c r="V29" s="319">
        <f t="shared" si="10"/>
        <v>45981</v>
      </c>
      <c r="W29" s="320" t="str">
        <f>IF(Nov!$P28&gt;0,"K",IF(Nov!$Q28&gt;0,"U",IF(Nov!$U28="","",Nov!$U28)))</f>
        <v/>
      </c>
      <c r="X29" s="319">
        <f t="shared" si="11"/>
        <v>46011</v>
      </c>
      <c r="Y29" s="325" t="str">
        <f>IF(Dez!$P28&gt;0,"K",IF(Dez!$Q28&gt;0,"U",IF(Dez!$U28="","",Dez!$U28)))</f>
        <v/>
      </c>
    </row>
    <row r="30" spans="1:25" ht="12.4" customHeight="1">
      <c r="A30" s="91"/>
      <c r="B30" s="319">
        <f t="shared" si="0"/>
        <v>45678</v>
      </c>
      <c r="C30" s="320" t="str">
        <f>IF(Jän!$P29&gt;0,"K",IF(Jän!$Q29&gt;0,"U",IF(Jän!$U29="","",Jän!$U29)))</f>
        <v/>
      </c>
      <c r="D30" s="319">
        <f t="shared" si="1"/>
        <v>45709</v>
      </c>
      <c r="E30" s="320" t="str">
        <f>IF(Feb!$P29&gt;0,"K",IF(Feb!$Q29&gt;0,"U",IF(Feb!$U29="","",Feb!$U29)))</f>
        <v/>
      </c>
      <c r="F30" s="319">
        <f t="shared" si="2"/>
        <v>45737</v>
      </c>
      <c r="G30" s="320" t="str">
        <f>IF(März!$P29&gt;0,"K",IF(März!$Q29&gt;0,"U",IF(März!$U29="","",März!$U29)))</f>
        <v/>
      </c>
      <c r="H30" s="319">
        <f t="shared" si="3"/>
        <v>45768</v>
      </c>
      <c r="I30" s="320" t="str">
        <f>IF(April!$P29&gt;0,"K",IF(April!$Q29&gt;0,"U",IF(April!$U29="","",April!$U29)))</f>
        <v/>
      </c>
      <c r="J30" s="319">
        <f t="shared" si="4"/>
        <v>45798</v>
      </c>
      <c r="K30" s="320" t="str">
        <f>IF(Mai!$P29&gt;0,"K",IF(Mai!$Q29&gt;0,"U",IF(Mai!$U29="","",Mai!$U29)))</f>
        <v/>
      </c>
      <c r="L30" s="319">
        <f t="shared" si="5"/>
        <v>45829</v>
      </c>
      <c r="M30" s="320" t="str">
        <f>IF(Juni!$P29&gt;0,"K",IF(Juni!$Q29&gt;0,"U",IF(Juni!$U29="","",Juni!$U29)))</f>
        <v/>
      </c>
      <c r="N30" s="319">
        <f t="shared" si="6"/>
        <v>45859</v>
      </c>
      <c r="O30" s="320" t="str">
        <f>IF(Juli!$P29&gt;0,"K",IF(Juli!$Q29&gt;0,"U",IF(Juli!$U29="","",Juli!$U29)))</f>
        <v/>
      </c>
      <c r="P30" s="319">
        <f t="shared" si="7"/>
        <v>45890</v>
      </c>
      <c r="Q30" s="320" t="str">
        <f>IF(Aug!$P29&gt;0,"K",IF(Aug!$Q29&gt;0,"U",IF(Aug!$U29="","",Aug!$U29)))</f>
        <v/>
      </c>
      <c r="R30" s="319">
        <f t="shared" si="8"/>
        <v>45921</v>
      </c>
      <c r="S30" s="320" t="str">
        <f>IF(Sept!$P29&gt;0,"K",IF(Sept!$Q29&gt;0,"U",IF(Sept!$U29="","",Sept!$U29)))</f>
        <v/>
      </c>
      <c r="T30" s="319">
        <f t="shared" si="9"/>
        <v>45951</v>
      </c>
      <c r="U30" s="320" t="str">
        <f>IF(Okt!$P29&gt;0,"K",IF(Okt!$Q29&gt;0,"U",IF(Okt!$U29="","",Okt!$U29)))</f>
        <v/>
      </c>
      <c r="V30" s="319">
        <f t="shared" si="10"/>
        <v>45982</v>
      </c>
      <c r="W30" s="320" t="str">
        <f>IF(Nov!$P29&gt;0,"K",IF(Nov!$Q29&gt;0,"U",IF(Nov!$U29="","",Nov!$U29)))</f>
        <v/>
      </c>
      <c r="X30" s="319">
        <f t="shared" si="11"/>
        <v>46012</v>
      </c>
      <c r="Y30" s="325" t="str">
        <f>IF(Dez!$P29&gt;0,"K",IF(Dez!$Q29&gt;0,"U",IF(Dez!$U29="","",Dez!$U29)))</f>
        <v/>
      </c>
    </row>
    <row r="31" spans="1:25" ht="12.4" customHeight="1">
      <c r="A31" s="91"/>
      <c r="B31" s="319">
        <f t="shared" si="0"/>
        <v>45679</v>
      </c>
      <c r="C31" s="320" t="str">
        <f>IF(Jän!$P30&gt;0,"K",IF(Jän!$Q30&gt;0,"U",IF(Jän!$U30="","",Jän!$U30)))</f>
        <v/>
      </c>
      <c r="D31" s="319">
        <f t="shared" si="1"/>
        <v>45710</v>
      </c>
      <c r="E31" s="320" t="str">
        <f>IF(Feb!$P30&gt;0,"K",IF(Feb!$Q30&gt;0,"U",IF(Feb!$U30="","",Feb!$U30)))</f>
        <v/>
      </c>
      <c r="F31" s="319">
        <f t="shared" si="2"/>
        <v>45738</v>
      </c>
      <c r="G31" s="320" t="str">
        <f>IF(März!$P30&gt;0,"K",IF(März!$Q30&gt;0,"U",IF(März!$U30="","",März!$U30)))</f>
        <v/>
      </c>
      <c r="H31" s="319">
        <f t="shared" si="3"/>
        <v>45769</v>
      </c>
      <c r="I31" s="320" t="str">
        <f>IF(April!$P30&gt;0,"K",IF(April!$Q30&gt;0,"U",IF(April!$U30="","",April!$U30)))</f>
        <v/>
      </c>
      <c r="J31" s="319">
        <f t="shared" si="4"/>
        <v>45799</v>
      </c>
      <c r="K31" s="320" t="str">
        <f>IF(Mai!$P30&gt;0,"K",IF(Mai!$Q30&gt;0,"U",IF(Mai!$U30="","",Mai!$U30)))</f>
        <v/>
      </c>
      <c r="L31" s="319">
        <f t="shared" si="5"/>
        <v>45830</v>
      </c>
      <c r="M31" s="320" t="str">
        <f>IF(Juni!$P30&gt;0,"K",IF(Juni!$Q30&gt;0,"U",IF(Juni!$U30="","",Juni!$U30)))</f>
        <v/>
      </c>
      <c r="N31" s="319">
        <f t="shared" si="6"/>
        <v>45860</v>
      </c>
      <c r="O31" s="320" t="str">
        <f>IF(Juli!$P30&gt;0,"K",IF(Juli!$Q30&gt;0,"U",IF(Juli!$U30="","",Juli!$U30)))</f>
        <v/>
      </c>
      <c r="P31" s="319">
        <f t="shared" si="7"/>
        <v>45891</v>
      </c>
      <c r="Q31" s="320" t="str">
        <f>IF(Aug!$P30&gt;0,"K",IF(Aug!$Q30&gt;0,"U",IF(Aug!$U30="","",Aug!$U30)))</f>
        <v/>
      </c>
      <c r="R31" s="319">
        <f t="shared" si="8"/>
        <v>45922</v>
      </c>
      <c r="S31" s="320" t="str">
        <f>IF(Sept!$P30&gt;0,"K",IF(Sept!$Q30&gt;0,"U",IF(Sept!$U30="","",Sept!$U30)))</f>
        <v/>
      </c>
      <c r="T31" s="319">
        <f t="shared" si="9"/>
        <v>45952</v>
      </c>
      <c r="U31" s="320" t="str">
        <f>IF(Okt!$P30&gt;0,"K",IF(Okt!$Q30&gt;0,"U",IF(Okt!$U30="","",Okt!$U30)))</f>
        <v/>
      </c>
      <c r="V31" s="319">
        <f t="shared" si="10"/>
        <v>45983</v>
      </c>
      <c r="W31" s="320" t="str">
        <f>IF(Nov!$P30&gt;0,"K",IF(Nov!$Q30&gt;0,"U",IF(Nov!$U30="","",Nov!$U30)))</f>
        <v/>
      </c>
      <c r="X31" s="319">
        <f t="shared" si="11"/>
        <v>46013</v>
      </c>
      <c r="Y31" s="325" t="str">
        <f>IF(Dez!$P30&gt;0,"K",IF(Dez!$Q30&gt;0,"U",IF(Dez!$U30="","",Dez!$U30)))</f>
        <v/>
      </c>
    </row>
    <row r="32" spans="1:25" ht="12.4" customHeight="1">
      <c r="A32" s="91"/>
      <c r="B32" s="319">
        <f t="shared" si="0"/>
        <v>45680</v>
      </c>
      <c r="C32" s="320" t="str">
        <f>IF(Jän!$P31&gt;0,"K",IF(Jän!$Q31&gt;0,"U",IF(Jän!$U31="","",Jän!$U31)))</f>
        <v/>
      </c>
      <c r="D32" s="319">
        <f t="shared" si="1"/>
        <v>45711</v>
      </c>
      <c r="E32" s="320" t="str">
        <f>IF(Feb!$P31&gt;0,"K",IF(Feb!$Q31&gt;0,"U",IF(Feb!$U31="","",Feb!$U31)))</f>
        <v/>
      </c>
      <c r="F32" s="319">
        <f t="shared" si="2"/>
        <v>45739</v>
      </c>
      <c r="G32" s="320" t="str">
        <f>IF(März!$P31&gt;0,"K",IF(März!$Q31&gt;0,"U",IF(März!$U31="","",März!$U31)))</f>
        <v/>
      </c>
      <c r="H32" s="319">
        <f t="shared" si="3"/>
        <v>45770</v>
      </c>
      <c r="I32" s="320" t="str">
        <f>IF(April!$P31&gt;0,"K",IF(April!$Q31&gt;0,"U",IF(April!$U31="","",April!$U31)))</f>
        <v/>
      </c>
      <c r="J32" s="319">
        <f t="shared" si="4"/>
        <v>45800</v>
      </c>
      <c r="K32" s="320" t="str">
        <f>IF(Mai!$P31&gt;0,"K",IF(Mai!$Q31&gt;0,"U",IF(Mai!$U31="","",Mai!$U31)))</f>
        <v/>
      </c>
      <c r="L32" s="319">
        <f t="shared" si="5"/>
        <v>45831</v>
      </c>
      <c r="M32" s="320" t="str">
        <f>IF(Juni!$P31&gt;0,"K",IF(Juni!$Q31&gt;0,"U",IF(Juni!$U31="","",Juni!$U31)))</f>
        <v/>
      </c>
      <c r="N32" s="319">
        <f t="shared" si="6"/>
        <v>45861</v>
      </c>
      <c r="O32" s="320" t="str">
        <f>IF(Juli!$P31&gt;0,"K",IF(Juli!$Q31&gt;0,"U",IF(Juli!$U31="","",Juli!$U31)))</f>
        <v/>
      </c>
      <c r="P32" s="319">
        <f t="shared" si="7"/>
        <v>45892</v>
      </c>
      <c r="Q32" s="320" t="str">
        <f>IF(Aug!$P31&gt;0,"K",IF(Aug!$Q31&gt;0,"U",IF(Aug!$U31="","",Aug!$U31)))</f>
        <v/>
      </c>
      <c r="R32" s="319">
        <f t="shared" si="8"/>
        <v>45923</v>
      </c>
      <c r="S32" s="320" t="str">
        <f>IF(Sept!$P31&gt;0,"K",IF(Sept!$Q31&gt;0,"U",IF(Sept!$U31="","",Sept!$U31)))</f>
        <v/>
      </c>
      <c r="T32" s="319">
        <f t="shared" si="9"/>
        <v>45953</v>
      </c>
      <c r="U32" s="320" t="str">
        <f>IF(Okt!$P31&gt;0,"K",IF(Okt!$Q31&gt;0,"U",IF(Okt!$U31="","",Okt!$U31)))</f>
        <v/>
      </c>
      <c r="V32" s="319">
        <f t="shared" si="10"/>
        <v>45984</v>
      </c>
      <c r="W32" s="320" t="str">
        <f>IF(Nov!$P31&gt;0,"K",IF(Nov!$Q31&gt;0,"U",IF(Nov!$U31="","",Nov!$U31)))</f>
        <v/>
      </c>
      <c r="X32" s="319">
        <f t="shared" si="11"/>
        <v>46014</v>
      </c>
      <c r="Y32" s="325" t="str">
        <f>IF(Dez!$P31&gt;0,"K",IF(Dez!$Q31&gt;0,"U",IF(Dez!$U31="","",Dez!$U31)))</f>
        <v/>
      </c>
    </row>
    <row r="33" spans="1:25" ht="12.4" customHeight="1">
      <c r="A33" s="91"/>
      <c r="B33" s="319">
        <f t="shared" si="0"/>
        <v>45681</v>
      </c>
      <c r="C33" s="320" t="str">
        <f>IF(Jän!$P32&gt;0,"K",IF(Jän!$Q32&gt;0,"U",IF(Jän!$U32="","",Jän!$U32)))</f>
        <v/>
      </c>
      <c r="D33" s="319">
        <f t="shared" si="1"/>
        <v>45712</v>
      </c>
      <c r="E33" s="320" t="str">
        <f>IF(Feb!$P32&gt;0,"K",IF(Feb!$Q32&gt;0,"U",IF(Feb!$U32="","",Feb!$U32)))</f>
        <v/>
      </c>
      <c r="F33" s="319">
        <f t="shared" si="2"/>
        <v>45740</v>
      </c>
      <c r="G33" s="320" t="str">
        <f>IF(März!$P32&gt;0,"K",IF(März!$Q32&gt;0,"U",IF(März!$U32="","",März!$U32)))</f>
        <v/>
      </c>
      <c r="H33" s="319">
        <f t="shared" si="3"/>
        <v>45771</v>
      </c>
      <c r="I33" s="320" t="str">
        <f>IF(April!$P32&gt;0,"K",IF(April!$Q32&gt;0,"U",IF(April!$U32="","",April!$U32)))</f>
        <v/>
      </c>
      <c r="J33" s="319">
        <f t="shared" si="4"/>
        <v>45801</v>
      </c>
      <c r="K33" s="320" t="str">
        <f>IF(Mai!$P32&gt;0,"K",IF(Mai!$Q32&gt;0,"U",IF(Mai!$U32="","",Mai!$U32)))</f>
        <v/>
      </c>
      <c r="L33" s="319">
        <f t="shared" si="5"/>
        <v>45832</v>
      </c>
      <c r="M33" s="320" t="str">
        <f>IF(Juni!$P32&gt;0,"K",IF(Juni!$Q32&gt;0,"U",IF(Juni!$U32="","",Juni!$U32)))</f>
        <v/>
      </c>
      <c r="N33" s="319">
        <f t="shared" si="6"/>
        <v>45862</v>
      </c>
      <c r="O33" s="320" t="str">
        <f>IF(Juli!$P32&gt;0,"K",IF(Juli!$Q32&gt;0,"U",IF(Juli!$U32="","",Juli!$U32)))</f>
        <v/>
      </c>
      <c r="P33" s="319">
        <f t="shared" si="7"/>
        <v>45893</v>
      </c>
      <c r="Q33" s="320" t="str">
        <f>IF(Aug!$P32&gt;0,"K",IF(Aug!$Q32&gt;0,"U",IF(Aug!$U32="","",Aug!$U32)))</f>
        <v/>
      </c>
      <c r="R33" s="319">
        <f t="shared" si="8"/>
        <v>45924</v>
      </c>
      <c r="S33" s="320" t="str">
        <f>IF(Sept!$P32&gt;0,"K",IF(Sept!$Q32&gt;0,"U",IF(Sept!$U32="","",Sept!$U32)))</f>
        <v/>
      </c>
      <c r="T33" s="319">
        <f t="shared" si="9"/>
        <v>45954</v>
      </c>
      <c r="U33" s="320" t="str">
        <f>IF(Okt!$P32&gt;0,"K",IF(Okt!$Q32&gt;0,"U",IF(Okt!$U32="","",Okt!$U32)))</f>
        <v/>
      </c>
      <c r="V33" s="319">
        <f t="shared" si="10"/>
        <v>45985</v>
      </c>
      <c r="W33" s="320" t="str">
        <f>IF(Nov!$P32&gt;0,"K",IF(Nov!$Q32&gt;0,"U",IF(Nov!$U32="","",Nov!$U32)))</f>
        <v/>
      </c>
      <c r="X33" s="319">
        <f t="shared" si="11"/>
        <v>46015</v>
      </c>
      <c r="Y33" s="325" t="str">
        <f>IF(Dez!$P32&gt;0,"K",IF(Dez!$Q32&gt;0,"U",IF(Dez!$U32="","",Dez!$U32)))</f>
        <v/>
      </c>
    </row>
    <row r="34" spans="1:25" ht="12.4" customHeight="1">
      <c r="A34" s="91"/>
      <c r="B34" s="319">
        <f t="shared" si="0"/>
        <v>45682</v>
      </c>
      <c r="C34" s="320" t="str">
        <f>IF(Jän!$P33&gt;0,"K",IF(Jän!$Q33&gt;0,"U",IF(Jän!$U33="","",Jän!$U33)))</f>
        <v/>
      </c>
      <c r="D34" s="319">
        <f t="shared" si="1"/>
        <v>45713</v>
      </c>
      <c r="E34" s="320" t="str">
        <f>IF(Feb!$P33&gt;0,"K",IF(Feb!$Q33&gt;0,"U",IF(Feb!$U33="","",Feb!$U33)))</f>
        <v/>
      </c>
      <c r="F34" s="319">
        <f t="shared" si="2"/>
        <v>45741</v>
      </c>
      <c r="G34" s="320" t="str">
        <f>IF(März!$P33&gt;0,"K",IF(März!$Q33&gt;0,"U",IF(März!$U33="","",März!$U33)))</f>
        <v/>
      </c>
      <c r="H34" s="319">
        <f t="shared" si="3"/>
        <v>45772</v>
      </c>
      <c r="I34" s="320" t="str">
        <f>IF(April!$P33&gt;0,"K",IF(April!$Q33&gt;0,"U",IF(April!$U33="","",April!$U33)))</f>
        <v/>
      </c>
      <c r="J34" s="319">
        <f t="shared" si="4"/>
        <v>45802</v>
      </c>
      <c r="K34" s="320" t="str">
        <f>IF(Mai!$P33&gt;0,"K",IF(Mai!$Q33&gt;0,"U",IF(Mai!$U33="","",Mai!$U33)))</f>
        <v/>
      </c>
      <c r="L34" s="319">
        <f t="shared" si="5"/>
        <v>45833</v>
      </c>
      <c r="M34" s="320" t="str">
        <f>IF(Juni!$P33&gt;0,"K",IF(Juni!$Q33&gt;0,"U",IF(Juni!$U33="","",Juni!$U33)))</f>
        <v/>
      </c>
      <c r="N34" s="319">
        <f t="shared" si="6"/>
        <v>45863</v>
      </c>
      <c r="O34" s="320" t="str">
        <f>IF(Juli!$P33&gt;0,"K",IF(Juli!$Q33&gt;0,"U",IF(Juli!$U33="","",Juli!$U33)))</f>
        <v/>
      </c>
      <c r="P34" s="319">
        <f t="shared" si="7"/>
        <v>45894</v>
      </c>
      <c r="Q34" s="320" t="str">
        <f>IF(Aug!$P33&gt;0,"K",IF(Aug!$Q33&gt;0,"U",IF(Aug!$U33="","",Aug!$U33)))</f>
        <v/>
      </c>
      <c r="R34" s="319">
        <f t="shared" si="8"/>
        <v>45925</v>
      </c>
      <c r="S34" s="320" t="str">
        <f>IF(Sept!$P33&gt;0,"K",IF(Sept!$Q33&gt;0,"U",IF(Sept!$U33="","",Sept!$U33)))</f>
        <v/>
      </c>
      <c r="T34" s="319">
        <f t="shared" si="9"/>
        <v>45955</v>
      </c>
      <c r="U34" s="320" t="str">
        <f>IF(Okt!$P33&gt;0,"K",IF(Okt!$Q33&gt;0,"U",IF(Okt!$U33="","",Okt!$U33)))</f>
        <v/>
      </c>
      <c r="V34" s="319">
        <f t="shared" si="10"/>
        <v>45986</v>
      </c>
      <c r="W34" s="320" t="str">
        <f>IF(Nov!$P33&gt;0,"K",IF(Nov!$Q33&gt;0,"U",IF(Nov!$U33="","",Nov!$U33)))</f>
        <v/>
      </c>
      <c r="X34" s="319">
        <f t="shared" si="11"/>
        <v>46016</v>
      </c>
      <c r="Y34" s="325" t="str">
        <f>IF(Dez!$P33&gt;0,"K",IF(Dez!$Q33&gt;0,"U",IF(Dez!$U33="","",Dez!$U33)))</f>
        <v/>
      </c>
    </row>
    <row r="35" spans="1:25" ht="12.4" customHeight="1">
      <c r="A35" s="91"/>
      <c r="B35" s="319">
        <f t="shared" si="0"/>
        <v>45683</v>
      </c>
      <c r="C35" s="320" t="str">
        <f>IF(Jän!$P34&gt;0,"K",IF(Jän!$Q34&gt;0,"U",IF(Jän!$U34="","",Jän!$U34)))</f>
        <v/>
      </c>
      <c r="D35" s="319">
        <f t="shared" si="1"/>
        <v>45714</v>
      </c>
      <c r="E35" s="320" t="str">
        <f>IF(Feb!$P34&gt;0,"K",IF(Feb!$Q34&gt;0,"U",IF(Feb!$U34="","",Feb!$U34)))</f>
        <v/>
      </c>
      <c r="F35" s="319">
        <f t="shared" si="2"/>
        <v>45742</v>
      </c>
      <c r="G35" s="320" t="str">
        <f>IF(März!$P34&gt;0,"K",IF(März!$Q34&gt;0,"U",IF(März!$U34="","",März!$U34)))</f>
        <v/>
      </c>
      <c r="H35" s="319">
        <f t="shared" si="3"/>
        <v>45773</v>
      </c>
      <c r="I35" s="320" t="str">
        <f>IF(April!$P34&gt;0,"K",IF(April!$Q34&gt;0,"U",IF(April!$U34="","",April!$U34)))</f>
        <v/>
      </c>
      <c r="J35" s="319">
        <f t="shared" si="4"/>
        <v>45803</v>
      </c>
      <c r="K35" s="320" t="str">
        <f>IF(Mai!$P34&gt;0,"K",IF(Mai!$Q34&gt;0,"U",IF(Mai!$U34="","",Mai!$U34)))</f>
        <v/>
      </c>
      <c r="L35" s="319">
        <f t="shared" si="5"/>
        <v>45834</v>
      </c>
      <c r="M35" s="320" t="str">
        <f>IF(Juni!$P34&gt;0,"K",IF(Juni!$Q34&gt;0,"U",IF(Juni!$U34="","",Juni!$U34)))</f>
        <v/>
      </c>
      <c r="N35" s="319">
        <f t="shared" si="6"/>
        <v>45864</v>
      </c>
      <c r="O35" s="320" t="str">
        <f>IF(Juli!$P34&gt;0,"K",IF(Juli!$Q34&gt;0,"U",IF(Juli!$U34="","",Juli!$U34)))</f>
        <v/>
      </c>
      <c r="P35" s="319">
        <f t="shared" si="7"/>
        <v>45895</v>
      </c>
      <c r="Q35" s="320" t="str">
        <f>IF(Aug!$P34&gt;0,"K",IF(Aug!$Q34&gt;0,"U",IF(Aug!$U34="","",Aug!$U34)))</f>
        <v/>
      </c>
      <c r="R35" s="319">
        <f t="shared" si="8"/>
        <v>45926</v>
      </c>
      <c r="S35" s="320" t="str">
        <f>IF(Sept!$P34&gt;0,"K",IF(Sept!$Q34&gt;0,"U",IF(Sept!$U34="","",Sept!$U34)))</f>
        <v/>
      </c>
      <c r="T35" s="319">
        <f t="shared" si="9"/>
        <v>45956</v>
      </c>
      <c r="U35" s="320" t="str">
        <f>IF(Okt!$P34&gt;0,"K",IF(Okt!$Q34&gt;0,"U",IF(Okt!$U34="","",Okt!$U34)))</f>
        <v/>
      </c>
      <c r="V35" s="319">
        <f t="shared" si="10"/>
        <v>45987</v>
      </c>
      <c r="W35" s="320" t="str">
        <f>IF(Nov!$P34&gt;0,"K",IF(Nov!$Q34&gt;0,"U",IF(Nov!$U34="","",Nov!$U34)))</f>
        <v/>
      </c>
      <c r="X35" s="319">
        <f t="shared" si="11"/>
        <v>46017</v>
      </c>
      <c r="Y35" s="325" t="str">
        <f>IF(Dez!$P34&gt;0,"K",IF(Dez!$Q34&gt;0,"U",IF(Dez!$U34="","",Dez!$U34)))</f>
        <v/>
      </c>
    </row>
    <row r="36" spans="1:25" ht="12.4" customHeight="1">
      <c r="A36" s="91"/>
      <c r="B36" s="319">
        <f t="shared" si="0"/>
        <v>45684</v>
      </c>
      <c r="C36" s="320" t="str">
        <f>IF(Jän!$P35&gt;0,"K",IF(Jän!$Q35&gt;0,"U",IF(Jän!$U35="","",Jän!$U35)))</f>
        <v/>
      </c>
      <c r="D36" s="319">
        <f t="shared" si="1"/>
        <v>45715</v>
      </c>
      <c r="E36" s="320" t="str">
        <f>IF(Feb!$P35&gt;0,"K",IF(Feb!$Q35&gt;0,"U",IF(Feb!$U35="","",Feb!$U35)))</f>
        <v/>
      </c>
      <c r="F36" s="319">
        <f t="shared" si="2"/>
        <v>45743</v>
      </c>
      <c r="G36" s="320" t="str">
        <f>IF(März!$P35&gt;0,"K",IF(März!$Q35&gt;0,"U",IF(März!$U35="","",März!$U35)))</f>
        <v/>
      </c>
      <c r="H36" s="319">
        <f t="shared" si="3"/>
        <v>45774</v>
      </c>
      <c r="I36" s="320" t="str">
        <f>IF(April!$P35&gt;0,"K",IF(April!$Q35&gt;0,"U",IF(April!$U35="","",April!$U35)))</f>
        <v/>
      </c>
      <c r="J36" s="319">
        <f t="shared" si="4"/>
        <v>45804</v>
      </c>
      <c r="K36" s="320" t="str">
        <f>IF(Mai!$P35&gt;0,"K",IF(Mai!$Q35&gt;0,"U",IF(Mai!$U35="","",Mai!$U35)))</f>
        <v/>
      </c>
      <c r="L36" s="319">
        <f t="shared" si="5"/>
        <v>45835</v>
      </c>
      <c r="M36" s="320" t="str">
        <f>IF(Juni!$P35&gt;0,"K",IF(Juni!$Q35&gt;0,"U",IF(Juni!$U35="","",Juni!$U35)))</f>
        <v/>
      </c>
      <c r="N36" s="319">
        <f t="shared" si="6"/>
        <v>45865</v>
      </c>
      <c r="O36" s="320" t="str">
        <f>IF(Juli!$P35&gt;0,"K",IF(Juli!$Q35&gt;0,"U",IF(Juli!$U35="","",Juli!$U35)))</f>
        <v/>
      </c>
      <c r="P36" s="319">
        <f t="shared" si="7"/>
        <v>45896</v>
      </c>
      <c r="Q36" s="320" t="str">
        <f>IF(Aug!$P35&gt;0,"K",IF(Aug!$Q35&gt;0,"U",IF(Aug!$U35="","",Aug!$U35)))</f>
        <v/>
      </c>
      <c r="R36" s="319">
        <f t="shared" si="8"/>
        <v>45927</v>
      </c>
      <c r="S36" s="320" t="str">
        <f>IF(Sept!$P35&gt;0,"K",IF(Sept!$Q35&gt;0,"U",IF(Sept!$U35="","",Sept!$U35)))</f>
        <v/>
      </c>
      <c r="T36" s="319">
        <f t="shared" si="9"/>
        <v>45957</v>
      </c>
      <c r="U36" s="320" t="str">
        <f>IF(Okt!$P35&gt;0,"K",IF(Okt!$Q35&gt;0,"U",IF(Okt!$U35="","",Okt!$U35)))</f>
        <v/>
      </c>
      <c r="V36" s="319">
        <f t="shared" si="10"/>
        <v>45988</v>
      </c>
      <c r="W36" s="320" t="str">
        <f>IF(Nov!$P35&gt;0,"K",IF(Nov!$Q35&gt;0,"U",IF(Nov!$U35="","",Nov!$U35)))</f>
        <v/>
      </c>
      <c r="X36" s="319">
        <f t="shared" si="11"/>
        <v>46018</v>
      </c>
      <c r="Y36" s="325" t="str">
        <f>IF(Dez!$P35&gt;0,"K",IF(Dez!$Q35&gt;0,"U",IF(Dez!$U35="","",Dez!$U35)))</f>
        <v/>
      </c>
    </row>
    <row r="37" spans="1:25" ht="12.4" customHeight="1">
      <c r="A37" s="91"/>
      <c r="B37" s="319">
        <f t="shared" si="0"/>
        <v>45685</v>
      </c>
      <c r="C37" s="320" t="str">
        <f>IF(Jän!$P36&gt;0,"K",IF(Jän!$Q36&gt;0,"U",IF(Jän!$U36="","",Jän!$U36)))</f>
        <v/>
      </c>
      <c r="D37" s="319">
        <f t="shared" si="1"/>
        <v>45716</v>
      </c>
      <c r="E37" s="320" t="str">
        <f>IF(Feb!$P36&gt;0,"K",IF(Feb!$Q36&gt;0,"U",IF(Feb!$U36="","",Feb!$U36)))</f>
        <v/>
      </c>
      <c r="F37" s="319">
        <f t="shared" si="2"/>
        <v>45744</v>
      </c>
      <c r="G37" s="320" t="str">
        <f>IF(März!$P36&gt;0,"K",IF(März!$Q36&gt;0,"U",IF(März!$U36="","",März!$U36)))</f>
        <v/>
      </c>
      <c r="H37" s="319">
        <f t="shared" si="3"/>
        <v>45775</v>
      </c>
      <c r="I37" s="320" t="str">
        <f>IF(April!$P36&gt;0,"K",IF(April!$Q36&gt;0,"U",IF(April!$U36="","",April!$U36)))</f>
        <v/>
      </c>
      <c r="J37" s="319">
        <f t="shared" si="4"/>
        <v>45805</v>
      </c>
      <c r="K37" s="320" t="str">
        <f>IF(Mai!$P36&gt;0,"K",IF(Mai!$Q36&gt;0,"U",IF(Mai!$U36="","",Mai!$U36)))</f>
        <v/>
      </c>
      <c r="L37" s="319">
        <f t="shared" si="5"/>
        <v>45836</v>
      </c>
      <c r="M37" s="320" t="str">
        <f>IF(Juni!$P36&gt;0,"K",IF(Juni!$Q36&gt;0,"U",IF(Juni!$U36="","",Juni!$U36)))</f>
        <v/>
      </c>
      <c r="N37" s="319">
        <f t="shared" si="6"/>
        <v>45866</v>
      </c>
      <c r="O37" s="320" t="str">
        <f>IF(Juli!$P36&gt;0,"K",IF(Juli!$Q36&gt;0,"U",IF(Juli!$U36="","",Juli!$U36)))</f>
        <v/>
      </c>
      <c r="P37" s="319">
        <f t="shared" si="7"/>
        <v>45897</v>
      </c>
      <c r="Q37" s="320" t="str">
        <f>IF(Aug!$P36&gt;0,"K",IF(Aug!$Q36&gt;0,"U",IF(Aug!$U36="","",Aug!$U36)))</f>
        <v/>
      </c>
      <c r="R37" s="319">
        <f t="shared" si="8"/>
        <v>45928</v>
      </c>
      <c r="S37" s="320" t="str">
        <f>IF(Sept!$P36&gt;0,"K",IF(Sept!$Q36&gt;0,"U",IF(Sept!$U36="","",Sept!$U36)))</f>
        <v/>
      </c>
      <c r="T37" s="319">
        <f t="shared" si="9"/>
        <v>45958</v>
      </c>
      <c r="U37" s="320" t="str">
        <f>IF(Okt!$P36&gt;0,"K",IF(Okt!$Q36&gt;0,"U",IF(Okt!$U36="","",Okt!$U36)))</f>
        <v/>
      </c>
      <c r="V37" s="319">
        <f t="shared" si="10"/>
        <v>45989</v>
      </c>
      <c r="W37" s="320" t="str">
        <f>IF(Nov!$P36&gt;0,"K",IF(Nov!$Q36&gt;0,"U",IF(Nov!$U36="","",Nov!$U36)))</f>
        <v/>
      </c>
      <c r="X37" s="319">
        <f t="shared" si="11"/>
        <v>46019</v>
      </c>
      <c r="Y37" s="325" t="str">
        <f>IF(Dez!$P36&gt;0,"K",IF(Dez!$Q36&gt;0,"U",IF(Dez!$U36="","",Dez!$U36)))</f>
        <v/>
      </c>
    </row>
    <row r="38" spans="1:25" ht="12.4" customHeight="1">
      <c r="A38" s="91"/>
      <c r="B38" s="319">
        <f t="shared" si="0"/>
        <v>45686</v>
      </c>
      <c r="C38" s="320" t="str">
        <f>IF(Jän!$P37&gt;0,"K",IF(Jän!$Q37&gt;0,"U",IF(Jän!$U37="","",Jän!$U37)))</f>
        <v/>
      </c>
      <c r="D38" s="319" t="str">
        <f>IF(MONTH(D37+1)=MONTH(D37),D37+1,"")</f>
        <v/>
      </c>
      <c r="E38" s="320" t="str">
        <f>IF(Feb!$P37&gt;0,"K",IF(Feb!$Q37&gt;0,"U",IF(Feb!$U37="","",Feb!$U37)))</f>
        <v/>
      </c>
      <c r="F38" s="319">
        <f t="shared" si="2"/>
        <v>45745</v>
      </c>
      <c r="G38" s="320" t="str">
        <f>IF(März!$P37&gt;0,"K",IF(März!$Q37&gt;0,"U",IF(März!$U37="","",März!$U37)))</f>
        <v/>
      </c>
      <c r="H38" s="319">
        <f t="shared" si="3"/>
        <v>45776</v>
      </c>
      <c r="I38" s="320" t="str">
        <f>IF(April!$P37&gt;0,"K",IF(April!$Q37&gt;0,"U",IF(April!$U37="","",April!$U37)))</f>
        <v/>
      </c>
      <c r="J38" s="319">
        <f t="shared" si="4"/>
        <v>45806</v>
      </c>
      <c r="K38" s="320" t="str">
        <f>IF(Mai!$P37&gt;0,"K",IF(Mai!$Q37&gt;0,"U",IF(Mai!$U37="","",Mai!$U37)))</f>
        <v/>
      </c>
      <c r="L38" s="319">
        <f t="shared" si="5"/>
        <v>45837</v>
      </c>
      <c r="M38" s="320" t="str">
        <f>IF(Juni!$P37&gt;0,"K",IF(Juni!$Q37&gt;0,"U",IF(Juni!$U37="","",Juni!$U37)))</f>
        <v/>
      </c>
      <c r="N38" s="319">
        <f t="shared" si="6"/>
        <v>45867</v>
      </c>
      <c r="O38" s="320" t="str">
        <f>IF(Juli!$P37&gt;0,"K",IF(Juli!$Q37&gt;0,"U",IF(Juli!$U37="","",Juli!$U37)))</f>
        <v/>
      </c>
      <c r="P38" s="319">
        <f t="shared" si="7"/>
        <v>45898</v>
      </c>
      <c r="Q38" s="320" t="str">
        <f>IF(Aug!$P37&gt;0,"K",IF(Aug!$Q37&gt;0,"U",IF(Aug!$U37="","",Aug!$U37)))</f>
        <v/>
      </c>
      <c r="R38" s="319">
        <f t="shared" si="8"/>
        <v>45929</v>
      </c>
      <c r="S38" s="320" t="str">
        <f>IF(Sept!$P37&gt;0,"K",IF(Sept!$Q37&gt;0,"U",IF(Sept!$U37="","",Sept!$U37)))</f>
        <v/>
      </c>
      <c r="T38" s="319">
        <f t="shared" si="9"/>
        <v>45959</v>
      </c>
      <c r="U38" s="320" t="str">
        <f>IF(Okt!$P37&gt;0,"K",IF(Okt!$Q37&gt;0,"U",IF(Okt!$U37="","",Okt!$U37)))</f>
        <v/>
      </c>
      <c r="V38" s="319">
        <f t="shared" si="10"/>
        <v>45990</v>
      </c>
      <c r="W38" s="320" t="str">
        <f>IF(Nov!$P37&gt;0,"K",IF(Nov!$Q37&gt;0,"U",IF(Nov!$U37="","",Nov!$U37)))</f>
        <v/>
      </c>
      <c r="X38" s="319">
        <f t="shared" si="11"/>
        <v>46020</v>
      </c>
      <c r="Y38" s="325" t="str">
        <f>IF(Dez!$P37&gt;0,"K",IF(Dez!$Q37&gt;0,"U",IF(Dez!$U37="","",Dez!$U37)))</f>
        <v/>
      </c>
    </row>
    <row r="39" spans="1:25" ht="12.4" customHeight="1">
      <c r="B39" s="319">
        <f t="shared" si="0"/>
        <v>45687</v>
      </c>
      <c r="C39" s="320" t="str">
        <f>IF(Jän!$P38&gt;0,"K",IF(Jän!$Q38&gt;0,"U",IF(Jän!$U38="","",Jän!$U38)))</f>
        <v/>
      </c>
      <c r="D39" s="326"/>
      <c r="E39" s="320"/>
      <c r="F39" s="319">
        <f t="shared" si="2"/>
        <v>45746</v>
      </c>
      <c r="G39" s="320" t="str">
        <f>IF(März!$P38&gt;0,"K",IF(März!$Q38&gt;0,"U",IF(März!$U38="","",März!$U38)))</f>
        <v/>
      </c>
      <c r="H39" s="319">
        <f t="shared" si="3"/>
        <v>45777</v>
      </c>
      <c r="I39" s="320" t="str">
        <f>IF(April!$P38&gt;0,"K",IF(April!$Q38&gt;0,"U",IF(April!$U38="","",April!$U38)))</f>
        <v/>
      </c>
      <c r="J39" s="319">
        <f t="shared" si="4"/>
        <v>45807</v>
      </c>
      <c r="K39" s="320" t="str">
        <f>IF(Mai!$P38&gt;0,"K",IF(Mai!$Q38&gt;0,"U",IF(Mai!$U38="","",Mai!$U38)))</f>
        <v/>
      </c>
      <c r="L39" s="319">
        <f t="shared" si="5"/>
        <v>45838</v>
      </c>
      <c r="M39" s="320" t="str">
        <f>IF(Juni!$P38&gt;0,"K",IF(Juni!$Q38&gt;0,"U",IF(Juni!$U38="","",Juni!$U38)))</f>
        <v/>
      </c>
      <c r="N39" s="319">
        <f t="shared" si="6"/>
        <v>45868</v>
      </c>
      <c r="O39" s="320" t="str">
        <f>IF(Juli!$P38&gt;0,"K",IF(Juli!$Q38&gt;0,"U",IF(Juli!$U38="","",Juli!$U38)))</f>
        <v/>
      </c>
      <c r="P39" s="319">
        <f t="shared" si="7"/>
        <v>45899</v>
      </c>
      <c r="Q39" s="320" t="str">
        <f>IF(Aug!$P38&gt;0,"K",IF(Aug!$Q38&gt;0,"U",IF(Aug!$U38="","",Aug!$U38)))</f>
        <v/>
      </c>
      <c r="R39" s="319">
        <f t="shared" si="8"/>
        <v>45930</v>
      </c>
      <c r="S39" s="320" t="str">
        <f>IF(Sept!$P38&gt;0,"K",IF(Sept!$Q38&gt;0,"U",IF(Sept!$U38="","",Sept!$U38)))</f>
        <v/>
      </c>
      <c r="T39" s="319">
        <f t="shared" si="9"/>
        <v>45960</v>
      </c>
      <c r="U39" s="320" t="str">
        <f>IF(Okt!$P38&gt;0,"K",IF(Okt!$Q38&gt;0,"U",IF(Okt!$U38="","",Okt!$U38)))</f>
        <v/>
      </c>
      <c r="V39" s="319">
        <f t="shared" si="10"/>
        <v>45991</v>
      </c>
      <c r="W39" s="320" t="str">
        <f>IF(Nov!$P38&gt;0,"K",IF(Nov!$Q38&gt;0,"U",IF(Nov!$U38="","",Nov!$U38)))</f>
        <v/>
      </c>
      <c r="X39" s="319">
        <f t="shared" si="11"/>
        <v>46021</v>
      </c>
      <c r="Y39" s="325" t="str">
        <f>IF(Dez!$P38&gt;0,"K",IF(Dez!$Q38&gt;0,"U",IF(Dez!$U38="","",Dez!$U38)))</f>
        <v/>
      </c>
    </row>
    <row r="40" spans="1:25" ht="12.4" customHeight="1">
      <c r="B40" s="327">
        <f t="shared" si="0"/>
        <v>45688</v>
      </c>
      <c r="C40" s="328" t="str">
        <f>IF(Jän!$P39&gt;0,"K",IF(Jän!$Q39&gt;0,"U",IF(Jän!$U39="","",Jän!$U39)))</f>
        <v/>
      </c>
      <c r="D40" s="329"/>
      <c r="E40" s="328"/>
      <c r="F40" s="327">
        <f t="shared" si="2"/>
        <v>45747</v>
      </c>
      <c r="G40" s="328" t="str">
        <f>IF(März!$P39&gt;0,"K",IF(März!$Q39&gt;0,"U",IF(März!$U39="","",März!$U39)))</f>
        <v/>
      </c>
      <c r="H40" s="329"/>
      <c r="I40" s="328"/>
      <c r="J40" s="327">
        <f t="shared" si="4"/>
        <v>45808</v>
      </c>
      <c r="K40" s="328" t="str">
        <f>IF(Mai!$P39&gt;0,"K",IF(Mai!$Q39&gt;0,"U",IF(Mai!$U39="","",Mai!$U39)))</f>
        <v/>
      </c>
      <c r="L40" s="329"/>
      <c r="M40" s="328"/>
      <c r="N40" s="327">
        <f t="shared" si="6"/>
        <v>45869</v>
      </c>
      <c r="O40" s="328" t="str">
        <f>IF(Juli!$P39&gt;0,"K",IF(Juli!$Q39&gt;0,"U",IF(Juli!$U39="","",Juli!$U39)))</f>
        <v/>
      </c>
      <c r="P40" s="327">
        <f t="shared" si="7"/>
        <v>45900</v>
      </c>
      <c r="Q40" s="328" t="str">
        <f>IF(Aug!$P39&gt;0,"K",IF(Aug!$Q39&gt;0,"U",IF(Aug!$U39="","",Aug!$U39)))</f>
        <v/>
      </c>
      <c r="R40" s="329"/>
      <c r="S40" s="328"/>
      <c r="T40" s="327">
        <f t="shared" si="9"/>
        <v>45961</v>
      </c>
      <c r="U40" s="328" t="str">
        <f>IF(Okt!$P39&gt;0,"K",IF(Okt!$Q39&gt;0,"U",IF(Okt!$U39="","",Okt!$U39)))</f>
        <v/>
      </c>
      <c r="V40" s="329"/>
      <c r="W40" s="328"/>
      <c r="X40" s="327">
        <f t="shared" si="11"/>
        <v>46022</v>
      </c>
      <c r="Y40" s="330" t="str">
        <f>IF(Dez!$P39&gt;0,"K",IF(Dez!$Q39&gt;0,"U",IF(Dez!$U39="","",Dez!$U39)))</f>
        <v/>
      </c>
    </row>
  </sheetData>
  <sheetProtection sheet="1" objects="1" scenarios="1" selectLockedCells="1"/>
  <mergeCells count="21">
    <mergeCell ref="W4:X4"/>
    <mergeCell ref="F6:G6"/>
    <mergeCell ref="L6:M6"/>
    <mergeCell ref="W6:Y6"/>
    <mergeCell ref="R9:S9"/>
    <mergeCell ref="M7:O7"/>
    <mergeCell ref="J9:K9"/>
    <mergeCell ref="T9:U9"/>
    <mergeCell ref="X7:Y7"/>
    <mergeCell ref="F7:G7"/>
    <mergeCell ref="N9:O9"/>
    <mergeCell ref="P9:Q9"/>
    <mergeCell ref="K7:L7"/>
    <mergeCell ref="X9:Y9"/>
    <mergeCell ref="L9:M9"/>
    <mergeCell ref="V9:W9"/>
    <mergeCell ref="B9:C9"/>
    <mergeCell ref="D9:E9"/>
    <mergeCell ref="F9:G9"/>
    <mergeCell ref="H9:I9"/>
    <mergeCell ref="P7:Q7"/>
  </mergeCells>
  <phoneticPr fontId="2" type="noConversion"/>
  <conditionalFormatting sqref="C10:C40 E10:E40 G10:G40 I10:I40 K10:K40 M10:M40 O10:O40 Q10:Q40 S10:S40 U10:U40 W10:W40 Y10:Y40">
    <cfRule type="cellIs" dxfId="4" priority="4" stopIfTrue="1" operator="equal">
      <formula>"U"</formula>
    </cfRule>
    <cfRule type="cellIs" dxfId="3" priority="5" stopIfTrue="1" operator="equal">
      <formula>"K"</formula>
    </cfRule>
  </conditionalFormatting>
  <conditionalFormatting sqref="D10:D38 H10:H39 L10:L39 R10:R39 V10:V39 B10:B40 F10:F40 J10:J40 N10:N40 P10:P40 T10:T40 X10:X40">
    <cfRule type="expression" dxfId="2" priority="1" stopIfTrue="1">
      <formula>MATCH(B10,$A$10:$A$29,0)</formula>
    </cfRule>
    <cfRule type="expression" dxfId="1" priority="2" stopIfTrue="1">
      <formula>WEEKDAY(B10)=1</formula>
    </cfRule>
    <cfRule type="expression" dxfId="0" priority="3" stopIfTrue="1">
      <formula>WEEKDAY(B10)=7</formula>
    </cfRule>
  </conditionalFormatting>
  <pageMargins left="0.59027777777777779" right="0.39374999999999999" top="0.59027777777777779" bottom="0.5118055555555555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showGridLines="0" workbookViewId="0">
      <selection activeCell="C35" sqref="C35"/>
    </sheetView>
  </sheetViews>
  <sheetFormatPr baseColWidth="10" defaultColWidth="11.42578125" defaultRowHeight="12.75"/>
  <cols>
    <col min="1" max="1" width="3.42578125" customWidth="1"/>
    <col min="2" max="2" width="12.7109375" customWidth="1"/>
    <col min="3" max="3" width="2.5703125" customWidth="1"/>
    <col min="4" max="4" width="14.140625" customWidth="1"/>
    <col min="5" max="5" width="12.7109375" customWidth="1"/>
    <col min="6" max="6" width="11.5703125" customWidth="1"/>
    <col min="7" max="7" width="2.5703125" customWidth="1"/>
    <col min="8" max="8" width="7.7109375" customWidth="1"/>
    <col min="9" max="9" width="18.28515625" customWidth="1"/>
    <col min="10" max="10" width="3.7109375" customWidth="1"/>
  </cols>
  <sheetData>
    <row r="1" spans="2:9" ht="20.25">
      <c r="B1" s="107" t="s">
        <v>77</v>
      </c>
      <c r="C1" s="108"/>
      <c r="D1" s="108"/>
      <c r="F1" s="108"/>
      <c r="G1" s="108"/>
    </row>
    <row r="2" spans="2:9">
      <c r="B2" s="42" t="s">
        <v>78</v>
      </c>
    </row>
    <row r="3" spans="2:9" ht="15.95" customHeight="1">
      <c r="B3" s="109"/>
      <c r="C3" s="88"/>
      <c r="D3" s="88"/>
      <c r="E3" s="88"/>
      <c r="F3" s="88"/>
      <c r="G3" s="88"/>
      <c r="H3" s="88"/>
      <c r="I3" s="88"/>
    </row>
    <row r="6" spans="2:9">
      <c r="B6" s="110" t="s">
        <v>79</v>
      </c>
      <c r="C6" s="111" t="s">
        <v>80</v>
      </c>
      <c r="D6" t="s">
        <v>81</v>
      </c>
      <c r="F6" s="112" t="s">
        <v>82</v>
      </c>
      <c r="G6" s="111"/>
      <c r="H6" t="s">
        <v>83</v>
      </c>
    </row>
    <row r="7" spans="2:9" ht="8.1" customHeight="1">
      <c r="C7" s="26"/>
      <c r="G7" s="26"/>
    </row>
    <row r="8" spans="2:9">
      <c r="C8" s="111"/>
      <c r="D8" t="s">
        <v>84</v>
      </c>
      <c r="G8" s="111"/>
      <c r="H8" t="s">
        <v>85</v>
      </c>
    </row>
    <row r="9" spans="2:9" ht="8.1" customHeight="1">
      <c r="C9" s="26"/>
      <c r="G9" s="26"/>
    </row>
    <row r="10" spans="2:9">
      <c r="C10" s="111"/>
      <c r="D10" t="s">
        <v>86</v>
      </c>
      <c r="G10" s="111"/>
      <c r="H10" t="s">
        <v>87</v>
      </c>
    </row>
    <row r="11" spans="2:9" ht="35.1" customHeight="1">
      <c r="B11" t="s">
        <v>88</v>
      </c>
      <c r="C11" s="42"/>
      <c r="D11" s="71" t="str">
        <f>Datenblatt!$D$7</f>
        <v>Vorname Familienname</v>
      </c>
      <c r="F11" s="71"/>
      <c r="G11" s="42"/>
    </row>
    <row r="12" spans="2:9" s="2" customFormat="1" ht="20.100000000000001" customHeight="1">
      <c r="B12" s="2" t="s">
        <v>4</v>
      </c>
      <c r="D12" s="113" t="str">
        <f>Datenblatt!D8</f>
        <v>Kirchenmusiker</v>
      </c>
      <c r="F12" s="113"/>
    </row>
    <row r="14" spans="2:9" ht="15" customHeight="1">
      <c r="B14" t="s">
        <v>89</v>
      </c>
      <c r="C14" s="42"/>
      <c r="D14" s="384" t="s">
        <v>90</v>
      </c>
      <c r="E14" s="384"/>
      <c r="F14" s="94" t="s">
        <v>91</v>
      </c>
      <c r="G14" s="42"/>
      <c r="H14" s="384" t="s">
        <v>90</v>
      </c>
      <c r="I14" s="384"/>
    </row>
    <row r="15" spans="2:9" ht="15" customHeight="1"/>
    <row r="16" spans="2:9" ht="15" customHeight="1">
      <c r="B16" t="s">
        <v>92</v>
      </c>
      <c r="E16" s="114">
        <v>0</v>
      </c>
      <c r="F16" t="s">
        <v>93</v>
      </c>
    </row>
    <row r="17" spans="1:10" ht="15" customHeight="1"/>
    <row r="18" spans="1:10" ht="15" customHeight="1">
      <c r="B18" t="str">
        <f>"Verbleibender Urlaubsanspruch für "&amp;Datenblatt!F$5&amp;":"</f>
        <v>Verbleibender Urlaubsanspruch für 2025:</v>
      </c>
      <c r="F18" s="115">
        <f>Datenblatt!D11-Jän!Q40-Feb!Q40-März!Q40-April!Q40-Mai!Q40-Juni!Q40-Juli!Q40-Aug!Q40-Sept!Q40-Okt!Q40-Nov!Q40-Dez!Q40-Datenblatt!N41-Datenblatt!Q41-Datenblatt!T41-Datenblatt!W41-Datenblatt!Z41-Datenblatt!K54-Datenblatt!N54-Datenblatt!Q54-Datenblatt!T54-Datenblatt!W54-Datenblatt!Z54</f>
        <v>190</v>
      </c>
      <c r="G18" t="s">
        <v>94</v>
      </c>
    </row>
    <row r="19" spans="1:10" ht="15" customHeight="1">
      <c r="B19" s="116"/>
      <c r="D19" s="117"/>
    </row>
    <row r="20" spans="1:10" ht="15" customHeight="1"/>
    <row r="21" spans="1:10" ht="15" customHeight="1"/>
    <row r="22" spans="1:10" ht="15" customHeight="1">
      <c r="B22" s="88"/>
      <c r="C22" s="88"/>
      <c r="D22" s="88"/>
      <c r="E22" s="88"/>
      <c r="G22" s="88"/>
      <c r="H22" s="88"/>
      <c r="I22" s="88"/>
    </row>
    <row r="23" spans="1:10" s="2" customFormat="1" ht="15" customHeight="1">
      <c r="B23" s="385" t="s">
        <v>95</v>
      </c>
      <c r="C23" s="385"/>
      <c r="D23" s="385"/>
      <c r="E23" s="2" t="s">
        <v>96</v>
      </c>
      <c r="F23" s="117"/>
      <c r="G23" s="386">
        <f ca="1">TODAY()</f>
        <v>45674</v>
      </c>
      <c r="H23" s="386"/>
      <c r="I23" t="s">
        <v>97</v>
      </c>
    </row>
    <row r="24" spans="1:10" ht="12" customHeight="1">
      <c r="B24" s="385" t="s">
        <v>98</v>
      </c>
      <c r="C24" s="385"/>
      <c r="D24" s="385"/>
    </row>
    <row r="25" spans="1:10" ht="15" customHeight="1">
      <c r="B25" s="66"/>
      <c r="C25" s="66"/>
      <c r="D25" s="66"/>
    </row>
    <row r="26" spans="1:10" ht="1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>
      <c r="A27" s="118" t="s">
        <v>99</v>
      </c>
    </row>
    <row r="28" spans="1:10" ht="20.25">
      <c r="B28" s="119" t="str">
        <f>"  Kopie dieser Meldung für "&amp;D11</f>
        <v xml:space="preserve">  Kopie dieser Meldung für Vorname Familienname</v>
      </c>
      <c r="C28" s="120"/>
      <c r="D28" s="120"/>
      <c r="E28" s="12"/>
      <c r="F28" s="120"/>
      <c r="G28" s="120"/>
      <c r="H28" s="12"/>
    </row>
    <row r="29" spans="1:10">
      <c r="B29" s="42"/>
    </row>
    <row r="30" spans="1:10" ht="15.95" customHeight="1">
      <c r="B30" s="109"/>
      <c r="C30" s="88"/>
      <c r="D30" s="88"/>
      <c r="E30" s="88"/>
      <c r="F30" s="88"/>
      <c r="G30" s="88"/>
      <c r="H30" s="88"/>
      <c r="I30" s="88"/>
    </row>
    <row r="33" spans="2:9">
      <c r="B33" s="110" t="s">
        <v>79</v>
      </c>
      <c r="C33" s="121" t="str">
        <f>IF((C6=0),"",(C6))</f>
        <v>X</v>
      </c>
      <c r="D33" t="s">
        <v>81</v>
      </c>
      <c r="F33" s="112" t="s">
        <v>82</v>
      </c>
      <c r="G33" s="121" t="str">
        <f>IF((G6=0),"",(G6))</f>
        <v/>
      </c>
      <c r="H33" t="s">
        <v>83</v>
      </c>
    </row>
    <row r="34" spans="2:9" ht="8.1" customHeight="1">
      <c r="C34" s="26"/>
      <c r="G34" s="26"/>
    </row>
    <row r="35" spans="2:9">
      <c r="C35" s="111" t="str">
        <f>IF((C8=0),"",(C8))</f>
        <v/>
      </c>
      <c r="D35" t="s">
        <v>84</v>
      </c>
      <c r="G35" s="121" t="str">
        <f>IF((G8=0),"",(G8))</f>
        <v/>
      </c>
      <c r="H35" t="s">
        <v>85</v>
      </c>
    </row>
    <row r="36" spans="2:9" ht="8.1" customHeight="1">
      <c r="C36" s="26"/>
      <c r="G36" s="26"/>
    </row>
    <row r="37" spans="2:9">
      <c r="C37" s="111" t="str">
        <f>IF((C10=0),"",(C10))</f>
        <v/>
      </c>
      <c r="D37" t="s">
        <v>86</v>
      </c>
      <c r="G37" s="121" t="str">
        <f>IF((G10=0),"",(G10))</f>
        <v/>
      </c>
      <c r="H37" t="s">
        <v>87</v>
      </c>
    </row>
    <row r="38" spans="2:9" ht="35.1" customHeight="1">
      <c r="B38" t="s">
        <v>88</v>
      </c>
      <c r="C38" s="42"/>
      <c r="D38" s="71" t="str">
        <f>D11</f>
        <v>Vorname Familienname</v>
      </c>
      <c r="F38" s="71"/>
      <c r="G38" s="42"/>
    </row>
    <row r="39" spans="2:9" s="2" customFormat="1" ht="20.100000000000001" customHeight="1">
      <c r="B39" s="2" t="s">
        <v>4</v>
      </c>
      <c r="D39" s="113" t="str">
        <f>D12</f>
        <v>Kirchenmusiker</v>
      </c>
      <c r="F39" s="113"/>
    </row>
    <row r="40" spans="2:9" ht="15" customHeight="1"/>
    <row r="41" spans="2:9">
      <c r="B41" t="s">
        <v>89</v>
      </c>
      <c r="C41" s="42"/>
      <c r="D41" s="387" t="str">
        <f>D14</f>
        <v>TT.MM.JJJJ</v>
      </c>
      <c r="E41" s="387"/>
      <c r="F41" s="94" t="s">
        <v>91</v>
      </c>
      <c r="G41" s="42"/>
      <c r="H41" s="387" t="str">
        <f>H14</f>
        <v>TT.MM.JJJJ</v>
      </c>
      <c r="I41" s="387"/>
    </row>
    <row r="43" spans="2:9" ht="15" customHeight="1">
      <c r="B43" t="s">
        <v>92</v>
      </c>
      <c r="E43" s="122">
        <f>E16</f>
        <v>0</v>
      </c>
      <c r="F43" t="s">
        <v>100</v>
      </c>
    </row>
    <row r="44" spans="2:9" ht="15" customHeight="1"/>
    <row r="45" spans="2:9">
      <c r="B45" t="str">
        <f>"Verbleibender Urlaubsanspruch für "&amp;Datenblatt!F$5&amp;":"</f>
        <v>Verbleibender Urlaubsanspruch für 2025:</v>
      </c>
      <c r="F45" s="115">
        <f>F18</f>
        <v>190</v>
      </c>
      <c r="G45" t="s">
        <v>100</v>
      </c>
    </row>
    <row r="46" spans="2:9">
      <c r="B46" s="116"/>
      <c r="D46" s="117"/>
    </row>
    <row r="49" spans="2:9" ht="15" customHeight="1">
      <c r="B49" s="88"/>
      <c r="C49" s="88"/>
      <c r="D49" s="88"/>
      <c r="E49" s="88"/>
      <c r="G49" s="88"/>
      <c r="H49" s="88"/>
      <c r="I49" s="88"/>
    </row>
    <row r="50" spans="2:9">
      <c r="B50" s="388" t="s">
        <v>95</v>
      </c>
      <c r="C50" s="388"/>
      <c r="D50" s="388"/>
      <c r="E50" s="2" t="s">
        <v>96</v>
      </c>
      <c r="F50" s="117"/>
      <c r="G50" s="389">
        <f ca="1">TODAY()</f>
        <v>45674</v>
      </c>
      <c r="H50" s="389"/>
      <c r="I50" t="s">
        <v>97</v>
      </c>
    </row>
    <row r="51" spans="2:9">
      <c r="B51" s="385" t="s">
        <v>98</v>
      </c>
      <c r="C51" s="385"/>
      <c r="D51" s="385"/>
    </row>
  </sheetData>
  <sheetProtection sheet="1" objects="1" scenarios="1" selectLockedCells="1"/>
  <mergeCells count="10">
    <mergeCell ref="D14:E14"/>
    <mergeCell ref="H14:I14"/>
    <mergeCell ref="B23:D23"/>
    <mergeCell ref="G23:H23"/>
    <mergeCell ref="B51:D51"/>
    <mergeCell ref="B24:D24"/>
    <mergeCell ref="D41:E41"/>
    <mergeCell ref="H41:I41"/>
    <mergeCell ref="B50:D50"/>
    <mergeCell ref="G50:H50"/>
  </mergeCells>
  <phoneticPr fontId="2" type="noConversion"/>
  <pageMargins left="0.78749999999999998" right="0.59027777777777779" top="0.59027777777777779" bottom="0.5118055555555555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20" sqref="W20:Y2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28515625" style="94" customWidth="1"/>
    <col min="4" max="4" width="5.85546875" style="94" hidden="1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4.425781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DATE(Datenblatt!F5,1,1)</f>
        <v>45658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"&amp;Datenblatt!$K$33&amp;";"&amp;"    Di: "&amp;Datenblatt!$K$34&amp;";"&amp;"    Mi: "&amp;Datenblatt!$K$35&amp;";"&amp;"    Do: "&amp;Datenblatt!$K$36&amp;";"&amp;"    Fr: "&amp;Datenblatt!$K$37&amp;";"&amp;"    Sa: "&amp;Datenblatt!$K$38&amp;";"&amp;"    So: "&amp;Datenblatt!$K$39&amp;" "&amp;"     -    Wochenarbeitszeit:  "&amp;Datenblatt!$K$40&amp;" "</f>
        <v xml:space="preserve">Arbeitsstunden/Tag:  Mo: 8;    Di: 8;    Mi: 8;    Do: 8;    Fr: 8;    Sa: 0;    So: 0      -    Wochenarbeitszeit:  40 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Datenblatt!D11</f>
        <v>190</v>
      </c>
      <c r="V4" s="413"/>
      <c r="W4" s="141"/>
      <c r="X4" s="142" t="str">
        <f>"Urlaubsanspruch per 01.01."&amp;Datenblatt!$F$5</f>
        <v>Urlaubsanspruch per 01.01.2025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31.01."&amp;Datenblatt!$F$5</f>
        <v>Resturlaub per 31.01.2025</v>
      </c>
      <c r="Y5" s="124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19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0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45658</v>
      </c>
      <c r="C9" s="157">
        <f t="shared" ref="C9:C39" si="0">B9</f>
        <v>45658</v>
      </c>
      <c r="D9" s="158">
        <f>IF(VLOOKUP($B9,Datenblatt!$A$43:$A$65,1,1)=$B9,0,VLOOKUP(WEEKDAY($B9),Datenblatt!$I$33:$K$39,3,FALSE))</f>
        <v>0</v>
      </c>
      <c r="E9" s="158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4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>Neujahr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45659</v>
      </c>
      <c r="C10" s="157">
        <f t="shared" si="0"/>
        <v>45659</v>
      </c>
      <c r="D10" s="158">
        <f>IF(VLOOKUP($B10,Datenblatt!$A$43:$A$65,1,1)=$B10,0,VLOOKUP(WEEKDAY($B10),Datenblatt!$I$33:$K$39,3,FALSE))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4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45660</v>
      </c>
      <c r="C11" s="157">
        <f t="shared" si="0"/>
        <v>45660</v>
      </c>
      <c r="D11" s="158">
        <f>IF(VLOOKUP($B11,Datenblatt!$A$43:$A$65,1,1)=$B11,0,VLOOKUP(WEEKDAY($B11),Datenblatt!$I$33:$K$39,3,FALSE))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4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45661</v>
      </c>
      <c r="C12" s="157">
        <f t="shared" si="0"/>
        <v>45661</v>
      </c>
      <c r="D12" s="158">
        <f>IF(VLOOKUP($B12,Datenblatt!$A$43:$A$65,1,1)=$B12,0,VLOOKUP(WEEKDAY($B12),Datenblatt!$I$33:$K$39,3,FALSE))</f>
        <v>0</v>
      </c>
      <c r="E12" s="158">
        <f>IF(VLOOKUP($B12,Datenblatt!$A$43:$A$65,1,1)=$B12,0,IF(WEEKDAY($B12)=7,1,IF(WEEKDAY($B12)=1,0,2)))</f>
        <v>1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4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45662</v>
      </c>
      <c r="C13" s="157">
        <f t="shared" si="0"/>
        <v>45662</v>
      </c>
      <c r="D13" s="158">
        <f>IF(VLOOKUP($B13,Datenblatt!$A$43:$A$65,1,1)=$B13,0,VLOOKUP(WEEKDAY($B13),Datenblatt!$I$33:$K$39,3,FALSE))</f>
        <v>0</v>
      </c>
      <c r="E13" s="158">
        <f>IF(VLOOKUP($B13,Datenblatt!$A$43:$A$65,1,1)=$B13,0,IF(WEEKDAY($B13)=7,1,IF(WEEKDAY($B13)=1,0,2)))</f>
        <v>0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4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45663</v>
      </c>
      <c r="C14" s="157">
        <f t="shared" si="0"/>
        <v>45663</v>
      </c>
      <c r="D14" s="158">
        <f>IF(VLOOKUP($B14,Datenblatt!$A$43:$A$65,1,1)=$B14,0,VLOOKUP(WEEKDAY($B14),Datenblatt!$I$33:$K$39,3,FALSE))</f>
        <v>0</v>
      </c>
      <c r="E14" s="158">
        <f>IF(VLOOKUP($B14,Datenblatt!$A$43:$A$65,1,1)=$B14,0,IF(WEEKDAY($B14)=7,1,IF(WEEKDAY($B14)=1,0,2)))</f>
        <v>0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4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>Hl. drei Könige</v>
      </c>
      <c r="X14" s="402"/>
      <c r="Y14" s="403"/>
      <c r="AB14" s="171"/>
    </row>
    <row r="15" spans="2:129" ht="12.2" customHeight="1">
      <c r="B15" s="156">
        <f t="shared" si="1"/>
        <v>45664</v>
      </c>
      <c r="C15" s="157">
        <f t="shared" si="0"/>
        <v>45664</v>
      </c>
      <c r="D15" s="158">
        <f>IF(VLOOKUP($B15,Datenblatt!$A$43:$A$65,1,1)=$B15,0,VLOOKUP(WEEKDAY($B15),Datenblatt!$I$33:$K$39,3,FALSE))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4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45665</v>
      </c>
      <c r="C16" s="157">
        <f t="shared" si="0"/>
        <v>45665</v>
      </c>
      <c r="D16" s="158">
        <f>IF(VLOOKUP($B16,Datenblatt!$A$43:$A$65,1,1)=$B16,0,VLOOKUP(WEEKDAY($B16),Datenblatt!$I$33:$K$39,3,FALSE))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4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45666</v>
      </c>
      <c r="C17" s="157">
        <f t="shared" si="0"/>
        <v>45666</v>
      </c>
      <c r="D17" s="158">
        <f>IF(VLOOKUP($B17,Datenblatt!$A$43:$A$65,1,1)=$B17,0,VLOOKUP(WEEKDAY($B17),Datenblatt!$I$33:$K$39,3,FALSE))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4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45667</v>
      </c>
      <c r="C18" s="157">
        <f t="shared" si="0"/>
        <v>45667</v>
      </c>
      <c r="D18" s="158">
        <f>IF(VLOOKUP($B18,Datenblatt!$A$43:$A$65,1,1)=$B18,0,VLOOKUP(WEEKDAY($B18),Datenblatt!$I$33:$K$39,3,FALSE))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4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45668</v>
      </c>
      <c r="C19" s="157">
        <f t="shared" si="0"/>
        <v>45668</v>
      </c>
      <c r="D19" s="158">
        <f>IF(VLOOKUP($B19,Datenblatt!$A$43:$A$65,1,1)=$B19,0,VLOOKUP(WEEKDAY($B19),Datenblatt!$I$33:$K$39,3,FALSE))</f>
        <v>0</v>
      </c>
      <c r="E19" s="158">
        <f>IF(VLOOKUP($B19,Datenblatt!$A$43:$A$65,1,1)=$B19,0,IF(WEEKDAY($B19)=7,1,IF(WEEKDAY($B19)=1,0,2)))</f>
        <v>1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4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45669</v>
      </c>
      <c r="C20" s="157">
        <f t="shared" si="0"/>
        <v>45669</v>
      </c>
      <c r="D20" s="158">
        <f>IF(VLOOKUP($B20,Datenblatt!$A$43:$A$65,1,1)=$B20,0,VLOOKUP(WEEKDAY($B20),Datenblatt!$I$33:$K$39,3,FALSE))</f>
        <v>0</v>
      </c>
      <c r="E20" s="158">
        <f>IF(VLOOKUP($B20,Datenblatt!$A$43:$A$65,1,1)=$B20,0,IF(WEEKDAY($B20)=7,1,IF(WEEKDAY($B20)=1,0,2)))</f>
        <v>0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4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45670</v>
      </c>
      <c r="C21" s="157">
        <f t="shared" si="0"/>
        <v>45670</v>
      </c>
      <c r="D21" s="158">
        <f>IF(VLOOKUP($B21,Datenblatt!$A$43:$A$65,1,1)=$B21,0,VLOOKUP(WEEKDAY($B21),Datenblatt!$I$33:$K$39,3,FALSE))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4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45671</v>
      </c>
      <c r="C22" s="157">
        <f t="shared" si="0"/>
        <v>45671</v>
      </c>
      <c r="D22" s="158">
        <f>IF(VLOOKUP($B22,Datenblatt!$A$43:$A$65,1,1)=$B22,0,VLOOKUP(WEEKDAY($B22),Datenblatt!$I$33:$K$39,3,FALSE))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4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45672</v>
      </c>
      <c r="C23" s="157">
        <f t="shared" si="0"/>
        <v>45672</v>
      </c>
      <c r="D23" s="158">
        <f>IF(VLOOKUP($B23,Datenblatt!$A$43:$A$65,1,1)=$B23,0,VLOOKUP(WEEKDAY($B23),Datenblatt!$I$33:$K$39,3,FALSE))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4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45673</v>
      </c>
      <c r="C24" s="157">
        <f t="shared" si="0"/>
        <v>45673</v>
      </c>
      <c r="D24" s="158">
        <f>IF(VLOOKUP($B24,Datenblatt!$A$43:$A$65,1,1)=$B24,0,VLOOKUP(WEEKDAY($B24),Datenblatt!$I$33:$K$39,3,FALSE))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4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45674</v>
      </c>
      <c r="C25" s="157">
        <f t="shared" si="0"/>
        <v>45674</v>
      </c>
      <c r="D25" s="158">
        <f>IF(VLOOKUP($B25,Datenblatt!$A$43:$A$65,1,1)=$B25,0,VLOOKUP(WEEKDAY($B25),Datenblatt!$I$33:$K$39,3,FALSE))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4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45675</v>
      </c>
      <c r="C26" s="157">
        <f t="shared" si="0"/>
        <v>45675</v>
      </c>
      <c r="D26" s="158">
        <f>IF(VLOOKUP($B26,Datenblatt!$A$43:$A$65,1,1)=$B26,0,VLOOKUP(WEEKDAY($B26),Datenblatt!$I$33:$K$39,3,FALSE))</f>
        <v>0</v>
      </c>
      <c r="E26" s="158">
        <f>IF(VLOOKUP($B26,Datenblatt!$A$43:$A$65,1,1)=$B26,0,IF(WEEKDAY($B26)=7,1,IF(WEEKDAY($B26)=1,0,2)))</f>
        <v>1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4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45676</v>
      </c>
      <c r="C27" s="157">
        <f t="shared" si="0"/>
        <v>45676</v>
      </c>
      <c r="D27" s="158">
        <f>IF(VLOOKUP($B27,Datenblatt!$A$43:$A$65,1,1)=$B27,0,VLOOKUP(WEEKDAY($B27),Datenblatt!$I$33:$K$39,3,FALSE))</f>
        <v>0</v>
      </c>
      <c r="E27" s="158">
        <f>IF(VLOOKUP($B27,Datenblatt!$A$43:$A$65,1,1)=$B27,0,IF(WEEKDAY($B27)=7,1,IF(WEEKDAY($B27)=1,0,2)))</f>
        <v>0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4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45677</v>
      </c>
      <c r="C28" s="157">
        <f t="shared" si="0"/>
        <v>45677</v>
      </c>
      <c r="D28" s="158">
        <f>IF(VLOOKUP($B28,Datenblatt!$A$43:$A$65,1,1)=$B28,0,VLOOKUP(WEEKDAY($B28),Datenblatt!$I$33:$K$39,3,FALSE))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4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45678</v>
      </c>
      <c r="C29" s="157">
        <f t="shared" si="0"/>
        <v>45678</v>
      </c>
      <c r="D29" s="158">
        <f>IF(VLOOKUP($B29,Datenblatt!$A$43:$A$65,1,1)=$B29,0,VLOOKUP(WEEKDAY($B29),Datenblatt!$I$33:$K$39,3,FALSE))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4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45679</v>
      </c>
      <c r="C30" s="157">
        <f t="shared" si="0"/>
        <v>45679</v>
      </c>
      <c r="D30" s="158">
        <f>IF(VLOOKUP($B30,Datenblatt!$A$43:$A$65,1,1)=$B30,0,VLOOKUP(WEEKDAY($B30),Datenblatt!$I$33:$K$39,3,FALSE))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4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45680</v>
      </c>
      <c r="C31" s="157">
        <f t="shared" si="0"/>
        <v>45680</v>
      </c>
      <c r="D31" s="158">
        <f>IF(VLOOKUP($B31,Datenblatt!$A$43:$A$65,1,1)=$B31,0,VLOOKUP(WEEKDAY($B31),Datenblatt!$I$33:$K$39,3,FALSE))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4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45681</v>
      </c>
      <c r="C32" s="157">
        <f t="shared" si="0"/>
        <v>45681</v>
      </c>
      <c r="D32" s="158">
        <f>IF(VLOOKUP($B32,Datenblatt!$A$43:$A$65,1,1)=$B32,0,VLOOKUP(WEEKDAY($B32),Datenblatt!$I$33:$K$39,3,FALSE))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4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45682</v>
      </c>
      <c r="C33" s="157">
        <f t="shared" si="0"/>
        <v>45682</v>
      </c>
      <c r="D33" s="158">
        <f>IF(VLOOKUP($B33,Datenblatt!$A$43:$A$65,1,1)=$B33,0,VLOOKUP(WEEKDAY($B33),Datenblatt!$I$33:$K$39,3,FALSE))</f>
        <v>0</v>
      </c>
      <c r="E33" s="158">
        <f>IF(VLOOKUP($B33,Datenblatt!$A$43:$A$65,1,1)=$B33,0,IF(WEEKDAY($B33)=7,1,IF(WEEKDAY($B33)=1,0,2)))</f>
        <v>1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4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45683</v>
      </c>
      <c r="C34" s="157">
        <f t="shared" si="0"/>
        <v>45683</v>
      </c>
      <c r="D34" s="158">
        <f>IF(VLOOKUP($B34,Datenblatt!$A$43:$A$65,1,1)=$B34,0,VLOOKUP(WEEKDAY($B34),Datenblatt!$I$33:$K$39,3,FALSE))</f>
        <v>0</v>
      </c>
      <c r="E34" s="158">
        <f>IF(VLOOKUP($B34,Datenblatt!$A$43:$A$65,1,1)=$B34,0,IF(WEEKDAY($B34)=7,1,IF(WEEKDAY($B34)=1,0,2)))</f>
        <v>0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4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45684</v>
      </c>
      <c r="C35" s="157">
        <f t="shared" si="0"/>
        <v>45684</v>
      </c>
      <c r="D35" s="158">
        <f>IF(VLOOKUP($B35,Datenblatt!$A$43:$A$65,1,1)=$B35,0,VLOOKUP(WEEKDAY($B35),Datenblatt!$I$33:$K$39,3,FALSE))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4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45685</v>
      </c>
      <c r="C36" s="157">
        <f t="shared" si="0"/>
        <v>45685</v>
      </c>
      <c r="D36" s="158">
        <f>IF(VLOOKUP($B36,Datenblatt!$A$43:$A$65,1,1)=$B36,0,VLOOKUP(WEEKDAY($B36),Datenblatt!$I$33:$K$39,3,FALSE))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4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45686</v>
      </c>
      <c r="C37" s="157">
        <f t="shared" si="0"/>
        <v>45686</v>
      </c>
      <c r="D37" s="158">
        <f>IF(VLOOKUP($B37,Datenblatt!$A$43:$A$65,1,1)=$B37,0,VLOOKUP(WEEKDAY($B37),Datenblatt!$I$33:$K$39,3,FALSE))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4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45687</v>
      </c>
      <c r="C38" s="157">
        <f t="shared" si="0"/>
        <v>45687</v>
      </c>
      <c r="D38" s="158">
        <f>IF(VLOOKUP($B38,Datenblatt!$A$43:$A$65,1,1)=$B38,0,VLOOKUP(WEEKDAY($B38),Datenblatt!$I$33:$K$39,3,FALSE))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4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45688</v>
      </c>
      <c r="C39" s="157">
        <f t="shared" si="0"/>
        <v>45688</v>
      </c>
      <c r="D39" s="158">
        <f>IF(VLOOKUP($B39,Datenblatt!$A$43:$A$65,1,1)=$B39,0,VLOOKUP(WEEKDAY($B39),Datenblatt!$I$33:$K$39,3,FALSE))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4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5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21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Januar "&amp;Datenblatt!$F$5&amp;":"</f>
        <v>Sollstunden für Januar 2025:</v>
      </c>
      <c r="N41" s="66"/>
      <c r="O41" s="66"/>
      <c r="P41" s="186"/>
      <c r="R41" s="187"/>
      <c r="S41" s="395">
        <f>SUM(D9:D39)</f>
        <v>168</v>
      </c>
      <c r="T41" s="395"/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IF(S42&gt;=0,"Zeitguthaben im Monat Januar "&amp;Datenblatt!F5&amp;":   ","Zeitdefizit im Monat Januar "&amp;Datenblatt!F5&amp;":   ")</f>
        <v xml:space="preserve">Zeitdefizit im Monat Januar 2025:   </v>
      </c>
      <c r="N42" s="190"/>
      <c r="O42" s="190"/>
      <c r="R42" s="191"/>
      <c r="S42" s="409">
        <f>U40-SUM(D9:D39)</f>
        <v>-168</v>
      </c>
      <c r="T42" s="409"/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IF(S43&gt;=0,"  + Zeitguthaben aus Dezember "&amp;Datenblatt!F5-1&amp;":   ","  - Zeitdefizit aus Jänner "&amp;Datenblatt!F5&amp;":   ")</f>
        <v xml:space="preserve">  + Zeitguthaben aus Dezember 2024:   </v>
      </c>
      <c r="S43" s="410">
        <f>Datenblatt!$D$13</f>
        <v>0</v>
      </c>
      <c r="T43" s="410"/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Februar "&amp;Datenblatt!F5</f>
        <v>Übertrag für Februar 2025</v>
      </c>
      <c r="R44" s="196"/>
      <c r="S44" s="411">
        <f>S43+S42-I42</f>
        <v>-168</v>
      </c>
      <c r="T44" s="411"/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5:Y35"/>
    <mergeCell ref="W36:Y36"/>
    <mergeCell ref="W37:Y37"/>
    <mergeCell ref="W38:Y38"/>
    <mergeCell ref="W39:Y39"/>
    <mergeCell ref="W30:Y30"/>
    <mergeCell ref="W31:Y31"/>
    <mergeCell ref="W32:Y32"/>
    <mergeCell ref="W33:Y33"/>
    <mergeCell ref="W34:Y34"/>
    <mergeCell ref="W25:Y25"/>
    <mergeCell ref="W26:Y26"/>
    <mergeCell ref="W27:Y27"/>
    <mergeCell ref="W28:Y28"/>
    <mergeCell ref="W29:Y29"/>
    <mergeCell ref="W20:Y20"/>
    <mergeCell ref="W21:Y21"/>
    <mergeCell ref="W22:Y22"/>
    <mergeCell ref="W23:Y23"/>
    <mergeCell ref="W24:Y24"/>
    <mergeCell ref="L2:P2"/>
    <mergeCell ref="U4:V4"/>
    <mergeCell ref="U5:V5"/>
    <mergeCell ref="F7:G7"/>
    <mergeCell ref="H7:M7"/>
    <mergeCell ref="N7:O7"/>
    <mergeCell ref="P7:P8"/>
    <mergeCell ref="Q7:Q8"/>
    <mergeCell ref="S7:S8"/>
    <mergeCell ref="G45:I45"/>
    <mergeCell ref="I42:J42"/>
    <mergeCell ref="S42:U42"/>
    <mergeCell ref="S43:U43"/>
    <mergeCell ref="S44:U44"/>
    <mergeCell ref="X7:X8"/>
    <mergeCell ref="Y7:Y8"/>
    <mergeCell ref="X40:Y40"/>
    <mergeCell ref="S41:U41"/>
    <mergeCell ref="T7:T8"/>
    <mergeCell ref="W9:Y9"/>
    <mergeCell ref="W10:Y10"/>
    <mergeCell ref="W11:Y11"/>
    <mergeCell ref="W12:Y12"/>
    <mergeCell ref="W13:Y13"/>
    <mergeCell ref="W14:Y14"/>
    <mergeCell ref="W15:Y15"/>
    <mergeCell ref="W16:Y16"/>
    <mergeCell ref="W17:Y17"/>
    <mergeCell ref="W18:Y18"/>
    <mergeCell ref="W19:Y19"/>
  </mergeCells>
  <phoneticPr fontId="2" type="noConversion"/>
  <conditionalFormatting sqref="A15 DZ15:IV15">
    <cfRule type="cellIs" dxfId="76" priority="1" stopIfTrue="1" operator="equal">
      <formula>MATCH($E15,0)</formula>
    </cfRule>
    <cfRule type="expression" dxfId="75" priority="2" stopIfTrue="1">
      <formula>"WOCHENTAG($B8)=1"</formula>
    </cfRule>
    <cfRule type="expression" dxfId="74" priority="3" stopIfTrue="1">
      <formula>"WOCHENTAG($B8)=7"</formula>
    </cfRule>
  </conditionalFormatting>
  <conditionalFormatting sqref="B9:C39">
    <cfRule type="expression" dxfId="73" priority="8" stopIfTrue="1">
      <formula>($E9=1)</formula>
    </cfRule>
  </conditionalFormatting>
  <conditionalFormatting sqref="B9:U39 W9:W39">
    <cfRule type="expression" dxfId="72" priority="4" stopIfTrue="1">
      <formula>($E9=0)</formula>
    </cfRule>
    <cfRule type="expression" dxfId="7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Y48"/>
  <sheetViews>
    <sheetView showGridLines="0" workbookViewId="0">
      <pane ySplit="8" topLeftCell="A14" activePane="bottomLeft" state="frozen"/>
      <selection activeCell="Y45" sqref="Y45"/>
      <selection pane="bottomLeft" activeCell="W18" sqref="W18:Y18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4" width="0.140625" style="94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DATE(Datenblatt!F5,2,1)</f>
        <v>45689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"&amp;Datenblatt!$N$33&amp;";"&amp;"    Di: "&amp;Datenblatt!$N$34&amp;";"&amp;"    Mi: "&amp;Datenblatt!$N$35&amp;";"&amp;"    Do: "&amp;Datenblatt!$N$36&amp;";"&amp;"    Fr: "&amp;Datenblatt!$N$37&amp;";"&amp;"    Sa: "&amp;Datenblatt!$N$38&amp;";"&amp;"    So: "&amp;Datenblatt!$N$39&amp;""&amp;"     -    Wochenarbeitszeit:  "&amp;Datenblatt!$N$40&amp;"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Jän!U5+Datenblatt!N41</f>
        <v>190</v>
      </c>
      <c r="V4" s="413"/>
      <c r="W4" s="141"/>
      <c r="X4" s="142" t="str">
        <f>"Urlaubsanspruch per 01.02."&amp;Datenblatt!$F$5</f>
        <v>Urlaubsanspruch per 01.02.2025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Ende Feber "&amp;Datenblatt!$F$5</f>
        <v>Resturlaub per Ende Feber 2025</v>
      </c>
      <c r="Y5" s="124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45689</v>
      </c>
      <c r="C9" s="157">
        <f t="shared" ref="C9:C37" si="0">B9</f>
        <v>45689</v>
      </c>
      <c r="D9" s="158">
        <f>IF(VLOOKUP($B9,Datenblatt!$A$43:$A$65,1,1)=$B9,0,VLOOKUP(WEEKDAY($B9),Datenblatt!$L$33:$N$39,3,FALSE))</f>
        <v>0</v>
      </c>
      <c r="E9" s="158">
        <f>IF(VLOOKUP($B9,Datenblatt!$A$43:$A$65,1,1)=$B9,0,IF(WEEKDAY($B9)=7,1,IF(WEEKDAY($B9)=1,0,2)))</f>
        <v>1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6" si="1">B9+1</f>
        <v>45690</v>
      </c>
      <c r="C10" s="157">
        <f t="shared" si="0"/>
        <v>45690</v>
      </c>
      <c r="D10" s="158">
        <f>IF(VLOOKUP($B10,Datenblatt!$A$43:$A$65,1,1)=$B10,0,VLOOKUP(WEEKDAY($B10),Datenblatt!$L$33:$N$39,3,FALSE))</f>
        <v>0</v>
      </c>
      <c r="E10" s="158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45691</v>
      </c>
      <c r="C11" s="157">
        <f t="shared" si="0"/>
        <v>45691</v>
      </c>
      <c r="D11" s="158">
        <f>IF(VLOOKUP($B11,Datenblatt!$A$43:$A$65,1,1)=$B11,0,VLOOKUP(WEEKDAY($B11),Datenblatt!$L$33:$N$39,3,FALSE))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45692</v>
      </c>
      <c r="C12" s="157">
        <f t="shared" si="0"/>
        <v>45692</v>
      </c>
      <c r="D12" s="158">
        <f>IF(VLOOKUP($B12,Datenblatt!$A$43:$A$65,1,1)=$B12,0,VLOOKUP(WEEKDAY($B12),Datenblatt!$L$33:$N$39,3,FALSE))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45693</v>
      </c>
      <c r="C13" s="157">
        <f t="shared" si="0"/>
        <v>45693</v>
      </c>
      <c r="D13" s="158">
        <f>IF(VLOOKUP($B13,Datenblatt!$A$43:$A$65,1,1)=$B13,0,VLOOKUP(WEEKDAY($B13),Datenblatt!$L$33:$N$39,3,FALSE))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45694</v>
      </c>
      <c r="C14" s="157">
        <f t="shared" si="0"/>
        <v>45694</v>
      </c>
      <c r="D14" s="158">
        <f>IF(VLOOKUP($B14,Datenblatt!$A$43:$A$65,1,1)=$B14,0,VLOOKUP(WEEKDAY($B14),Datenblatt!$L$33:$N$39,3,FALSE))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45695</v>
      </c>
      <c r="C15" s="157">
        <f t="shared" si="0"/>
        <v>45695</v>
      </c>
      <c r="D15" s="158">
        <f>IF(VLOOKUP($B15,Datenblatt!$A$43:$A$65,1,1)=$B15,0,VLOOKUP(WEEKDAY($B15),Datenblatt!$L$33:$N$39,3,FALSE))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45696</v>
      </c>
      <c r="C16" s="157">
        <f t="shared" si="0"/>
        <v>45696</v>
      </c>
      <c r="D16" s="158">
        <f>IF(VLOOKUP($B16,Datenblatt!$A$43:$A$65,1,1)=$B16,0,VLOOKUP(WEEKDAY($B16),Datenblatt!$L$33:$N$39,3,FALSE))</f>
        <v>0</v>
      </c>
      <c r="E16" s="158">
        <f>IF(VLOOKUP($B16,Datenblatt!$A$43:$A$65,1,1)=$B16,0,IF(WEEKDAY($B16)=7,1,IF(WEEKDAY($B16)=1,0,2)))</f>
        <v>1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45697</v>
      </c>
      <c r="C17" s="157">
        <f t="shared" si="0"/>
        <v>45697</v>
      </c>
      <c r="D17" s="158">
        <f>IF(VLOOKUP($B17,Datenblatt!$A$43:$A$65,1,1)=$B17,0,VLOOKUP(WEEKDAY($B17),Datenblatt!$L$33:$N$39,3,FALSE))</f>
        <v>0</v>
      </c>
      <c r="E17" s="158">
        <f>IF(VLOOKUP($B17,Datenblatt!$A$43:$A$65,1,1)=$B17,0,IF(WEEKDAY($B17)=7,1,IF(WEEKDAY($B17)=1,0,2)))</f>
        <v>0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45698</v>
      </c>
      <c r="C18" s="157">
        <f t="shared" si="0"/>
        <v>45698</v>
      </c>
      <c r="D18" s="158">
        <f>IF(VLOOKUP($B18,Datenblatt!$A$43:$A$65,1,1)=$B18,0,VLOOKUP(WEEKDAY($B18),Datenblatt!$L$33:$N$39,3,FALSE))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45699</v>
      </c>
      <c r="C19" s="157">
        <f t="shared" si="0"/>
        <v>45699</v>
      </c>
      <c r="D19" s="158">
        <f>IF(VLOOKUP($B19,Datenblatt!$A$43:$A$65,1,1)=$B19,0,VLOOKUP(WEEKDAY($B19),Datenblatt!$L$33:$N$39,3,FALSE))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45700</v>
      </c>
      <c r="C20" s="157">
        <f t="shared" si="0"/>
        <v>45700</v>
      </c>
      <c r="D20" s="158">
        <f>IF(VLOOKUP($B20,Datenblatt!$A$43:$A$65,1,1)=$B20,0,VLOOKUP(WEEKDAY($B20),Datenblatt!$L$33:$N$39,3,FALSE))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45701</v>
      </c>
      <c r="C21" s="157">
        <f t="shared" si="0"/>
        <v>45701</v>
      </c>
      <c r="D21" s="158">
        <f>IF(VLOOKUP($B21,Datenblatt!$A$43:$A$65,1,1)=$B21,0,VLOOKUP(WEEKDAY($B21),Datenblatt!$L$33:$N$39,3,FALSE))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45702</v>
      </c>
      <c r="C22" s="157">
        <f t="shared" si="0"/>
        <v>45702</v>
      </c>
      <c r="D22" s="158">
        <f>IF(VLOOKUP($B22,Datenblatt!$A$43:$A$65,1,1)=$B22,0,VLOOKUP(WEEKDAY($B22),Datenblatt!$L$33:$N$39,3,FALSE))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45703</v>
      </c>
      <c r="C23" s="157">
        <f t="shared" si="0"/>
        <v>45703</v>
      </c>
      <c r="D23" s="158">
        <f>IF(VLOOKUP($B23,Datenblatt!$A$43:$A$65,1,1)=$B23,0,VLOOKUP(WEEKDAY($B23),Datenblatt!$L$33:$N$39,3,FALSE))</f>
        <v>0</v>
      </c>
      <c r="E23" s="158">
        <f>IF(VLOOKUP($B23,Datenblatt!$A$43:$A$65,1,1)=$B23,0,IF(WEEKDAY($B23)=7,1,IF(WEEKDAY($B23)=1,0,2)))</f>
        <v>1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45704</v>
      </c>
      <c r="C24" s="157">
        <f t="shared" si="0"/>
        <v>45704</v>
      </c>
      <c r="D24" s="158">
        <f>IF(VLOOKUP($B24,Datenblatt!$A$43:$A$65,1,1)=$B24,0,VLOOKUP(WEEKDAY($B24),Datenblatt!$L$33:$N$39,3,FALSE))</f>
        <v>0</v>
      </c>
      <c r="E24" s="158">
        <f>IF(VLOOKUP($B24,Datenblatt!$A$43:$A$65,1,1)=$B24,0,IF(WEEKDAY($B24)=7,1,IF(WEEKDAY($B24)=1,0,2)))</f>
        <v>0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45705</v>
      </c>
      <c r="C25" s="157">
        <f t="shared" si="0"/>
        <v>45705</v>
      </c>
      <c r="D25" s="158">
        <f>IF(VLOOKUP($B25,Datenblatt!$A$43:$A$65,1,1)=$B25,0,VLOOKUP(WEEKDAY($B25),Datenblatt!$L$33:$N$39,3,FALSE))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45706</v>
      </c>
      <c r="C26" s="157">
        <f t="shared" si="0"/>
        <v>45706</v>
      </c>
      <c r="D26" s="158">
        <f>IF(VLOOKUP($B26,Datenblatt!$A$43:$A$65,1,1)=$B26,0,VLOOKUP(WEEKDAY($B26),Datenblatt!$L$33:$N$39,3,FALSE))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45707</v>
      </c>
      <c r="C27" s="157">
        <f t="shared" si="0"/>
        <v>45707</v>
      </c>
      <c r="D27" s="158">
        <f>IF(VLOOKUP($B27,Datenblatt!$A$43:$A$65,1,1)=$B27,0,VLOOKUP(WEEKDAY($B27),Datenblatt!$L$33:$N$39,3,FALSE))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45708</v>
      </c>
      <c r="C28" s="157">
        <f t="shared" si="0"/>
        <v>45708</v>
      </c>
      <c r="D28" s="158">
        <f>IF(VLOOKUP($B28,Datenblatt!$A$43:$A$65,1,1)=$B28,0,VLOOKUP(WEEKDAY($B28),Datenblatt!$L$33:$N$39,3,FALSE))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45709</v>
      </c>
      <c r="C29" s="157">
        <f t="shared" si="0"/>
        <v>45709</v>
      </c>
      <c r="D29" s="158">
        <f>IF(VLOOKUP($B29,Datenblatt!$A$43:$A$65,1,1)=$B29,0,VLOOKUP(WEEKDAY($B29),Datenblatt!$L$33:$N$39,3,FALSE))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45710</v>
      </c>
      <c r="C30" s="157">
        <f t="shared" si="0"/>
        <v>45710</v>
      </c>
      <c r="D30" s="158">
        <f>IF(VLOOKUP($B30,Datenblatt!$A$43:$A$65,1,1)=$B30,0,VLOOKUP(WEEKDAY($B30),Datenblatt!$L$33:$N$39,3,FALSE))</f>
        <v>0</v>
      </c>
      <c r="E30" s="158">
        <f>IF(VLOOKUP($B30,Datenblatt!$A$43:$A$65,1,1)=$B30,0,IF(WEEKDAY($B30)=7,1,IF(WEEKDAY($B30)=1,0,2)))</f>
        <v>1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45711</v>
      </c>
      <c r="C31" s="157">
        <f t="shared" si="0"/>
        <v>45711</v>
      </c>
      <c r="D31" s="158">
        <f>IF(VLOOKUP($B31,Datenblatt!$A$43:$A$65,1,1)=$B31,0,VLOOKUP(WEEKDAY($B31),Datenblatt!$L$33:$N$39,3,FALSE))</f>
        <v>0</v>
      </c>
      <c r="E31" s="158">
        <f>IF(VLOOKUP($B31,Datenblatt!$A$43:$A$65,1,1)=$B31,0,IF(WEEKDAY($B31)=7,1,IF(WEEKDAY($B31)=1,0,2)))</f>
        <v>0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45712</v>
      </c>
      <c r="C32" s="157">
        <f t="shared" si="0"/>
        <v>45712</v>
      </c>
      <c r="D32" s="158">
        <f>IF(VLOOKUP($B32,Datenblatt!$A$43:$A$65,1,1)=$B32,0,VLOOKUP(WEEKDAY($B32),Datenblatt!$L$33:$N$39,3,FALSE))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45713</v>
      </c>
      <c r="C33" s="157">
        <f t="shared" si="0"/>
        <v>45713</v>
      </c>
      <c r="D33" s="158">
        <f>IF(VLOOKUP($B33,Datenblatt!$A$43:$A$65,1,1)=$B33,0,VLOOKUP(WEEKDAY($B33),Datenblatt!$L$33:$N$39,3,FALSE))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45714</v>
      </c>
      <c r="C34" s="157">
        <f t="shared" si="0"/>
        <v>45714</v>
      </c>
      <c r="D34" s="158">
        <f>IF(VLOOKUP($B34,Datenblatt!$A$43:$A$65,1,1)=$B34,0,VLOOKUP(WEEKDAY($B34),Datenblatt!$L$33:$N$39,3,FALSE))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45715</v>
      </c>
      <c r="C35" s="157">
        <f t="shared" si="0"/>
        <v>45715</v>
      </c>
      <c r="D35" s="158">
        <f>IF(VLOOKUP($B35,Datenblatt!$A$43:$A$65,1,1)=$B35,0,VLOOKUP(WEEKDAY($B35),Datenblatt!$L$33:$N$39,3,FALSE))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45716</v>
      </c>
      <c r="C36" s="157">
        <f t="shared" si="0"/>
        <v>45716</v>
      </c>
      <c r="D36" s="158">
        <f>IF(VLOOKUP($B36,Datenblatt!$A$43:$A$65,1,1)=$B36,0,VLOOKUP(WEEKDAY($B36),Datenblatt!$L$33:$N$39,3,FALSE))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 t="str">
        <f>IF(MONTH(B36+1)=MONTH(B36),B36+1,"")</f>
        <v/>
      </c>
      <c r="C37" s="157" t="str">
        <f t="shared" si="0"/>
        <v/>
      </c>
      <c r="D37" s="158">
        <f>IF(B37="",0,IF(VLOOKUP($B37,Datenblatt!$A$43:$A$65,1,1)=$B37,0,VLOOKUP(WEEKDAY($B37),Datenblatt!$L$33:$N$39,3,FALSE)))</f>
        <v>0</v>
      </c>
      <c r="E37" s="158">
        <f>IF(B37="",2,IF(VLOOKUP($B37,Datenblatt!$A$43:$A$65,1,1)=$B37,0,IF(WEEKDAY($B37)=7,1,IF(WEEKDAY($B37)=1,0,2))))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/>
      <c r="X37" s="402"/>
      <c r="Y37" s="403"/>
      <c r="AB37" s="171"/>
    </row>
    <row r="38" spans="2:129" ht="12.2" customHeight="1">
      <c r="B38" s="156"/>
      <c r="C38" s="157"/>
      <c r="D38" s="158"/>
      <c r="E38" s="158"/>
      <c r="F38" s="198"/>
      <c r="G38" s="199"/>
      <c r="H38" s="200"/>
      <c r="I38" s="201"/>
      <c r="J38" s="200"/>
      <c r="K38" s="201"/>
      <c r="L38" s="202"/>
      <c r="M38" s="203"/>
      <c r="N38" s="204"/>
      <c r="O38" s="204"/>
      <c r="P38" s="205"/>
      <c r="Q38" s="20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/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6"/>
      <c r="X39" s="427"/>
      <c r="Y39" s="428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Feber "&amp;Datenblatt!$F$5&amp;":"</f>
        <v>Sollstunden für Feber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Feber "&amp;Datenblatt!F5&amp;":   ","Zeitdefizit im Monat Feber "&amp;Datenblatt!F5&amp;":   ")</f>
        <v xml:space="preserve">Zeitdefizit im Monat Feber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Jänner "&amp;Datenblatt!F5-1&amp;":   ","  - Zeitdefizit aus Jänner "&amp;Datenblatt!F5&amp;":   ")</f>
        <v xml:space="preserve">  - Zeitdefizit aus Jänner 2025:   </v>
      </c>
      <c r="T43" s="410">
        <f>Jän!S44</f>
        <v>-168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März "&amp;Datenblatt!F5</f>
        <v>Übertrag für März 2025</v>
      </c>
      <c r="R44" s="196"/>
      <c r="S44" s="196"/>
      <c r="T44" s="411">
        <f>T43+T42-I42</f>
        <v>-328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70" priority="1" stopIfTrue="1" operator="equal">
      <formula>MATCH($E15,0)</formula>
    </cfRule>
    <cfRule type="expression" dxfId="69" priority="2" stopIfTrue="1">
      <formula>"WOCHENTAG($B8)=1"</formula>
    </cfRule>
    <cfRule type="expression" dxfId="68" priority="3" stopIfTrue="1">
      <formula>"WOCHENTAG($B8)=7"</formula>
    </cfRule>
  </conditionalFormatting>
  <conditionalFormatting sqref="B9:C37">
    <cfRule type="expression" dxfId="67" priority="8" stopIfTrue="1">
      <formula>($E9=1)</formula>
    </cfRule>
  </conditionalFormatting>
  <conditionalFormatting sqref="B9:U37 W9:W37">
    <cfRule type="expression" dxfId="66" priority="4" stopIfTrue="1">
      <formula>($E9=0)</formula>
    </cfRule>
    <cfRule type="expression" dxfId="6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22" sqref="W22:Y22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5703125" style="94" customWidth="1"/>
    <col min="4" max="4" width="10.57031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DATE(Datenblatt!F5,3,1)</f>
        <v>45717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"&amp;Datenblatt!$Q$33&amp;";"&amp;"    Di: "&amp;Datenblatt!$Q$34&amp;";"&amp;"    Mi: "&amp;Datenblatt!$Q$35&amp;";"&amp;"    Do: "&amp;Datenblatt!$Q$36&amp;";"&amp;"    Fr: "&amp;Datenblatt!$Q$37&amp;";"&amp;"    Sa: "&amp;Datenblatt!$Q$38&amp;";"&amp;"    So: "&amp;Datenblatt!$Q$39&amp;""&amp;"     -    Wochenarbeitszeit:  "&amp;Datenblatt!$Q$40&amp;"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Feb!U5+Datenblatt!Q41</f>
        <v>190</v>
      </c>
      <c r="V4" s="413"/>
      <c r="W4" s="141"/>
      <c r="X4" s="142" t="str">
        <f>"Urlaubsanspruch per 01.03."&amp;Datenblatt!$F$5</f>
        <v>Urlaubsanspruch per 01.03.2025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31.03."&amp;Datenblatt!$F$5</f>
        <v>Resturlaub per 31.03.2025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45717</v>
      </c>
      <c r="C9" s="157">
        <f t="shared" ref="C9:C39" si="0">B9</f>
        <v>45717</v>
      </c>
      <c r="D9" s="158">
        <f>IF(VLOOKUP($B9,Datenblatt!$A$43:$A$65,1,1)=$B9,0,VLOOKUP(WEEKDAY($B9),Datenblatt!$O$33:$Q$39,3,FALSE))</f>
        <v>0</v>
      </c>
      <c r="E9" s="158">
        <f>IF(VLOOKUP($B9,Datenblatt!$A$43:$A$65,1,1)=$B9,0,IF(WEEKDAY($B9)=7,1,IF(WEEKDAY($B9)=1,0,2)))</f>
        <v>1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45718</v>
      </c>
      <c r="C10" s="157">
        <f t="shared" si="0"/>
        <v>45718</v>
      </c>
      <c r="D10" s="158">
        <f>IF(VLOOKUP($B10,Datenblatt!$A$43:$A$65,1,1)=$B10,0,VLOOKUP(WEEKDAY($B10),Datenblatt!$O$33:$Q$39,3,FALSE))</f>
        <v>0</v>
      </c>
      <c r="E10" s="158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45719</v>
      </c>
      <c r="C11" s="157">
        <f t="shared" si="0"/>
        <v>45719</v>
      </c>
      <c r="D11" s="158">
        <f>IF(VLOOKUP($B11,Datenblatt!$A$43:$A$65,1,1)=$B11,0,VLOOKUP(WEEKDAY($B11),Datenblatt!$O$33:$Q$39,3,FALSE))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45720</v>
      </c>
      <c r="C12" s="157">
        <f t="shared" si="0"/>
        <v>45720</v>
      </c>
      <c r="D12" s="158">
        <f>IF(VLOOKUP($B12,Datenblatt!$A$43:$A$65,1,1)=$B12,0,VLOOKUP(WEEKDAY($B12),Datenblatt!$O$33:$Q$39,3,FALSE))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45721</v>
      </c>
      <c r="C13" s="157">
        <f t="shared" si="0"/>
        <v>45721</v>
      </c>
      <c r="D13" s="158">
        <f>IF(VLOOKUP($B13,Datenblatt!$A$43:$A$65,1,1)=$B13,0,VLOOKUP(WEEKDAY($B13),Datenblatt!$O$33:$Q$39,3,FALSE))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45722</v>
      </c>
      <c r="C14" s="157">
        <f t="shared" si="0"/>
        <v>45722</v>
      </c>
      <c r="D14" s="158">
        <f>IF(VLOOKUP($B14,Datenblatt!$A$43:$A$65,1,1)=$B14,0,VLOOKUP(WEEKDAY($B14),Datenblatt!$O$33:$Q$39,3,FALSE))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45723</v>
      </c>
      <c r="C15" s="157">
        <f t="shared" si="0"/>
        <v>45723</v>
      </c>
      <c r="D15" s="158">
        <f>IF(VLOOKUP($B15,Datenblatt!$A$43:$A$65,1,1)=$B15,0,VLOOKUP(WEEKDAY($B15),Datenblatt!$O$33:$Q$39,3,FALSE))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45724</v>
      </c>
      <c r="C16" s="157">
        <f t="shared" si="0"/>
        <v>45724</v>
      </c>
      <c r="D16" s="158">
        <f>IF(VLOOKUP($B16,Datenblatt!$A$43:$A$65,1,1)=$B16,0,VLOOKUP(WEEKDAY($B16),Datenblatt!$O$33:$Q$39,3,FALSE))</f>
        <v>0</v>
      </c>
      <c r="E16" s="158">
        <f>IF(VLOOKUP($B16,Datenblatt!$A$43:$A$65,1,1)=$B16,0,IF(WEEKDAY($B16)=7,1,IF(WEEKDAY($B16)=1,0,2)))</f>
        <v>1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45725</v>
      </c>
      <c r="C17" s="157">
        <f t="shared" si="0"/>
        <v>45725</v>
      </c>
      <c r="D17" s="158">
        <f>IF(VLOOKUP($B17,Datenblatt!$A$43:$A$65,1,1)=$B17,0,VLOOKUP(WEEKDAY($B17),Datenblatt!$O$33:$Q$39,3,FALSE))</f>
        <v>0</v>
      </c>
      <c r="E17" s="158">
        <f>IF(VLOOKUP($B17,Datenblatt!$A$43:$A$65,1,1)=$B17,0,IF(WEEKDAY($B17)=7,1,IF(WEEKDAY($B17)=1,0,2)))</f>
        <v>0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45726</v>
      </c>
      <c r="C18" s="157">
        <f t="shared" si="0"/>
        <v>45726</v>
      </c>
      <c r="D18" s="158">
        <f>IF(VLOOKUP($B18,Datenblatt!$A$43:$A$65,1,1)=$B18,0,VLOOKUP(WEEKDAY($B18),Datenblatt!$O$33:$Q$39,3,FALSE))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45727</v>
      </c>
      <c r="C19" s="157">
        <f t="shared" si="0"/>
        <v>45727</v>
      </c>
      <c r="D19" s="158">
        <f>IF(VLOOKUP($B19,Datenblatt!$A$43:$A$65,1,1)=$B19,0,VLOOKUP(WEEKDAY($B19),Datenblatt!$O$33:$Q$39,3,FALSE))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45728</v>
      </c>
      <c r="C20" s="157">
        <f t="shared" si="0"/>
        <v>45728</v>
      </c>
      <c r="D20" s="158">
        <f>IF(VLOOKUP($B20,Datenblatt!$A$43:$A$65,1,1)=$B20,0,VLOOKUP(WEEKDAY($B20),Datenblatt!$O$33:$Q$39,3,FALSE))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45729</v>
      </c>
      <c r="C21" s="157">
        <f t="shared" si="0"/>
        <v>45729</v>
      </c>
      <c r="D21" s="158">
        <f>IF(VLOOKUP($B21,Datenblatt!$A$43:$A$65,1,1)=$B21,0,VLOOKUP(WEEKDAY($B21),Datenblatt!$O$33:$Q$39,3,FALSE))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45730</v>
      </c>
      <c r="C22" s="157">
        <f t="shared" si="0"/>
        <v>45730</v>
      </c>
      <c r="D22" s="158">
        <f>IF(VLOOKUP($B22,Datenblatt!$A$43:$A$65,1,1)=$B22,0,VLOOKUP(WEEKDAY($B22),Datenblatt!$O$33:$Q$39,3,FALSE))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45731</v>
      </c>
      <c r="C23" s="157">
        <f t="shared" si="0"/>
        <v>45731</v>
      </c>
      <c r="D23" s="158">
        <f>IF(VLOOKUP($B23,Datenblatt!$A$43:$A$65,1,1)=$B23,0,VLOOKUP(WEEKDAY($B23),Datenblatt!$O$33:$Q$39,3,FALSE))</f>
        <v>0</v>
      </c>
      <c r="E23" s="158">
        <f>IF(VLOOKUP($B23,Datenblatt!$A$43:$A$65,1,1)=$B23,0,IF(WEEKDAY($B23)=7,1,IF(WEEKDAY($B23)=1,0,2)))</f>
        <v>1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45732</v>
      </c>
      <c r="C24" s="157">
        <f t="shared" si="0"/>
        <v>45732</v>
      </c>
      <c r="D24" s="158">
        <f>IF(VLOOKUP($B24,Datenblatt!$A$43:$A$65,1,1)=$B24,0,VLOOKUP(WEEKDAY($B24),Datenblatt!$O$33:$Q$39,3,FALSE))</f>
        <v>0</v>
      </c>
      <c r="E24" s="158">
        <f>IF(VLOOKUP($B24,Datenblatt!$A$43:$A$65,1,1)=$B24,0,IF(WEEKDAY($B24)=7,1,IF(WEEKDAY($B24)=1,0,2)))</f>
        <v>0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45733</v>
      </c>
      <c r="C25" s="157">
        <f t="shared" si="0"/>
        <v>45733</v>
      </c>
      <c r="D25" s="158">
        <f>IF(VLOOKUP($B25,Datenblatt!$A$43:$A$65,1,1)=$B25,0,VLOOKUP(WEEKDAY($B25),Datenblatt!$O$33:$Q$39,3,FALSE))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45734</v>
      </c>
      <c r="C26" s="157">
        <f t="shared" si="0"/>
        <v>45734</v>
      </c>
      <c r="D26" s="158">
        <f>IF(VLOOKUP($B26,Datenblatt!$A$43:$A$65,1,1)=$B26,0,VLOOKUP(WEEKDAY($B26),Datenblatt!$O$33:$Q$39,3,FALSE))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45735</v>
      </c>
      <c r="C27" s="157">
        <f t="shared" si="0"/>
        <v>45735</v>
      </c>
      <c r="D27" s="158">
        <f>IF(VLOOKUP($B27,Datenblatt!$A$43:$A$65,1,1)=$B27,0,VLOOKUP(WEEKDAY($B27),Datenblatt!$O$33:$Q$39,3,FALSE))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45736</v>
      </c>
      <c r="C28" s="157">
        <f t="shared" si="0"/>
        <v>45736</v>
      </c>
      <c r="D28" s="158">
        <f>IF(VLOOKUP($B28,Datenblatt!$A$43:$A$65,1,1)=$B28,0,VLOOKUP(WEEKDAY($B28),Datenblatt!$O$33:$Q$39,3,FALSE))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45737</v>
      </c>
      <c r="C29" s="157">
        <f t="shared" si="0"/>
        <v>45737</v>
      </c>
      <c r="D29" s="158">
        <f>IF(VLOOKUP($B29,Datenblatt!$A$43:$A$65,1,1)=$B29,0,VLOOKUP(WEEKDAY($B29),Datenblatt!$O$33:$Q$39,3,FALSE))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45738</v>
      </c>
      <c r="C30" s="157">
        <f t="shared" si="0"/>
        <v>45738</v>
      </c>
      <c r="D30" s="158">
        <f>IF(VLOOKUP($B30,Datenblatt!$A$43:$A$65,1,1)=$B30,0,VLOOKUP(WEEKDAY($B30),Datenblatt!$O$33:$Q$39,3,FALSE))</f>
        <v>0</v>
      </c>
      <c r="E30" s="158">
        <f>IF(VLOOKUP($B30,Datenblatt!$A$43:$A$65,1,1)=$B30,0,IF(WEEKDAY($B30)=7,1,IF(WEEKDAY($B30)=1,0,2)))</f>
        <v>1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45739</v>
      </c>
      <c r="C31" s="157">
        <f t="shared" si="0"/>
        <v>45739</v>
      </c>
      <c r="D31" s="158">
        <f>IF(VLOOKUP($B31,Datenblatt!$A$43:$A$65,1,1)=$B31,0,VLOOKUP(WEEKDAY($B31),Datenblatt!$O$33:$Q$39,3,FALSE))</f>
        <v>0</v>
      </c>
      <c r="E31" s="158">
        <f>IF(VLOOKUP($B31,Datenblatt!$A$43:$A$65,1,1)=$B31,0,IF(WEEKDAY($B31)=7,1,IF(WEEKDAY($B31)=1,0,2)))</f>
        <v>0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45740</v>
      </c>
      <c r="C32" s="157">
        <f t="shared" si="0"/>
        <v>45740</v>
      </c>
      <c r="D32" s="158">
        <f>IF(VLOOKUP($B32,Datenblatt!$A$43:$A$65,1,1)=$B32,0,VLOOKUP(WEEKDAY($B32),Datenblatt!$O$33:$Q$39,3,FALSE))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45741</v>
      </c>
      <c r="C33" s="157">
        <f t="shared" si="0"/>
        <v>45741</v>
      </c>
      <c r="D33" s="158">
        <f>IF(VLOOKUP($B33,Datenblatt!$A$43:$A$65,1,1)=$B33,0,VLOOKUP(WEEKDAY($B33),Datenblatt!$O$33:$Q$39,3,FALSE))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45742</v>
      </c>
      <c r="C34" s="157">
        <f t="shared" si="0"/>
        <v>45742</v>
      </c>
      <c r="D34" s="158">
        <f>IF(VLOOKUP($B34,Datenblatt!$A$43:$A$65,1,1)=$B34,0,VLOOKUP(WEEKDAY($B34),Datenblatt!$O$33:$Q$39,3,FALSE))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45743</v>
      </c>
      <c r="C35" s="157">
        <f t="shared" si="0"/>
        <v>45743</v>
      </c>
      <c r="D35" s="158">
        <f>IF(VLOOKUP($B35,Datenblatt!$A$43:$A$65,1,1)=$B35,0,VLOOKUP(WEEKDAY($B35),Datenblatt!$O$33:$Q$39,3,FALSE))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45744</v>
      </c>
      <c r="C36" s="157">
        <f t="shared" si="0"/>
        <v>45744</v>
      </c>
      <c r="D36" s="158">
        <f>IF(VLOOKUP($B36,Datenblatt!$A$43:$A$65,1,1)=$B36,0,VLOOKUP(WEEKDAY($B36),Datenblatt!$O$33:$Q$39,3,FALSE))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45745</v>
      </c>
      <c r="C37" s="157">
        <f t="shared" si="0"/>
        <v>45745</v>
      </c>
      <c r="D37" s="158">
        <f>IF(VLOOKUP($B37,Datenblatt!$A$43:$A$65,1,1)=$B37,0,VLOOKUP(WEEKDAY($B37),Datenblatt!$O$33:$Q$39,3,FALSE))</f>
        <v>0</v>
      </c>
      <c r="E37" s="158">
        <f>IF(VLOOKUP($B37,Datenblatt!$A$43:$A$65,1,1)=$B37,0,IF(WEEKDAY($B37)=7,1,IF(WEEKDAY($B37)=1,0,2)))</f>
        <v>1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45746</v>
      </c>
      <c r="C38" s="157">
        <f t="shared" si="0"/>
        <v>45746</v>
      </c>
      <c r="D38" s="158">
        <f>IF(VLOOKUP($B38,Datenblatt!$A$43:$A$65,1,1)=$B38,0,VLOOKUP(WEEKDAY($B38),Datenblatt!$O$33:$Q$39,3,FALSE))</f>
        <v>0</v>
      </c>
      <c r="E38" s="158">
        <f>IF(VLOOKUP($B38,Datenblatt!$A$43:$A$65,1,1)=$B38,0,IF(WEEKDAY($B38)=7,1,IF(WEEKDAY($B38)=1,0,2)))</f>
        <v>0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45747</v>
      </c>
      <c r="C39" s="157">
        <f t="shared" si="0"/>
        <v>45747</v>
      </c>
      <c r="D39" s="158">
        <f>IF(VLOOKUP($B39,Datenblatt!$A$43:$A$65,1,1)=$B39,0,VLOOKUP(WEEKDAY($B39),Datenblatt!$O$33:$Q$39,3,FALSE))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21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März "&amp;Datenblatt!$F$5&amp;":"</f>
        <v>Sollstunden für März 2025:</v>
      </c>
      <c r="N41" s="66"/>
      <c r="O41" s="66"/>
      <c r="P41" s="186"/>
      <c r="R41" s="187"/>
      <c r="S41" s="187"/>
      <c r="T41" s="395">
        <f>SUM(D9:D39)</f>
        <v>168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März "&amp;Datenblatt!F5&amp;":   ","Zeitdefizit im Monat März "&amp;Datenblatt!F5&amp;":   ")</f>
        <v xml:space="preserve">Zeitdefizit im Monat März 2025:   </v>
      </c>
      <c r="N42" s="190"/>
      <c r="O42" s="190"/>
      <c r="R42" s="191"/>
      <c r="S42" s="191"/>
      <c r="T42" s="409">
        <f>U40-SUM(D9:D39)</f>
        <v>-168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Feber "&amp;Datenblatt!F5-1&amp;":   ","  - Zeitdefizit aus Feber "&amp;Datenblatt!F5&amp;":   ")</f>
        <v xml:space="preserve">  - Zeitdefizit aus Feber 2025:   </v>
      </c>
      <c r="T43" s="410">
        <f>Feb!T44</f>
        <v>-328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April "&amp;Datenblatt!F5</f>
        <v>Übertrag für April 2025</v>
      </c>
      <c r="R44" s="196"/>
      <c r="S44" s="196"/>
      <c r="T44" s="411">
        <f>T43+T42-I42</f>
        <v>-496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64" priority="1" stopIfTrue="1" operator="equal">
      <formula>MATCH($E15,0)</formula>
    </cfRule>
    <cfRule type="expression" dxfId="63" priority="2" stopIfTrue="1">
      <formula>"WOCHENTAG($B8)=1"</formula>
    </cfRule>
    <cfRule type="expression" dxfId="62" priority="3" stopIfTrue="1">
      <formula>"WOCHENTAG($B8)=7"</formula>
    </cfRule>
  </conditionalFormatting>
  <conditionalFormatting sqref="B9:C39">
    <cfRule type="expression" dxfId="61" priority="8" stopIfTrue="1">
      <formula>($E9=1)</formula>
    </cfRule>
  </conditionalFormatting>
  <conditionalFormatting sqref="B9:U39 W9:W39">
    <cfRule type="expression" dxfId="60" priority="4" stopIfTrue="1">
      <formula>($E9=0)</formula>
    </cfRule>
    <cfRule type="expression" dxfId="59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Q11" sqref="Q11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5703125" style="94" customWidth="1"/>
    <col min="4" max="4" width="0.28515625" style="94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DATE(Datenblatt!F5,4,1)</f>
        <v>45748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"&amp;Datenblatt!$T$33&amp;";"&amp;"    Di: "&amp;Datenblatt!$T$34&amp;";"&amp;"    Mi: "&amp;Datenblatt!$T$35&amp;";"&amp;"    Do: "&amp;Datenblatt!$T$36&amp;";"&amp;"    Fr: "&amp;Datenblatt!$T$37&amp;";"&amp;"    Sa: "&amp;Datenblatt!$T$38&amp;";"&amp;"    So: "&amp;Datenblatt!$T$39&amp;""&amp;"     -    Wochenarbeitszeit:  "&amp;Datenblatt!$T$40&amp;"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März!U5+Datenblatt!T41</f>
        <v>190</v>
      </c>
      <c r="V4" s="413"/>
      <c r="W4" s="141"/>
      <c r="X4" s="142" t="str">
        <f>"Urlaubsanspruch per 01.04."&amp;Datenblatt!$F$5</f>
        <v>Urlaubsanspruch per 01.04.2025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30.04."&amp;Datenblatt!$F$5</f>
        <v>Resturlaub per 30.04.2025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45748</v>
      </c>
      <c r="C9" s="157">
        <f t="shared" ref="C9:C38" si="0">B9</f>
        <v>45748</v>
      </c>
      <c r="D9" s="158">
        <f>IF(VLOOKUP($B9,Datenblatt!$A$43:$A$65,1,1)=$B9,0,VLOOKUP(WEEKDAY($B9),Datenblatt!$R$33:$T$39,3,FALSE))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8" si="1">B9+1</f>
        <v>45749</v>
      </c>
      <c r="C10" s="157">
        <f t="shared" si="0"/>
        <v>45749</v>
      </c>
      <c r="D10" s="158">
        <f>IF(VLOOKUP($B10,Datenblatt!$A$43:$A$65,1,1)=$B10,0,VLOOKUP(WEEKDAY($B10),Datenblatt!$R$33:$T$39,3,FALSE))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8" si="2">IF((F10+P10+Q10=0),"",(G10-F10)-(I10-H10)-(K10-J10)-(M10-L10)+P10+Q10)</f>
        <v/>
      </c>
      <c r="S10" s="351" t="str">
        <f t="shared" ref="S10:S38" si="3">IF((N10+O10=0),"",(N10*0.66))</f>
        <v/>
      </c>
      <c r="T10" s="168" t="str">
        <f t="shared" ref="T10:T38" si="4">IF(U10="","",U10-R10)</f>
        <v/>
      </c>
      <c r="U10" s="169" t="str">
        <f t="shared" ref="U10:U38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45750</v>
      </c>
      <c r="C11" s="157">
        <f t="shared" si="0"/>
        <v>45750</v>
      </c>
      <c r="D11" s="158">
        <f>IF(VLOOKUP($B11,Datenblatt!$A$43:$A$65,1,1)=$B11,0,VLOOKUP(WEEKDAY($B11),Datenblatt!$R$33:$T$39,3,FALSE))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45751</v>
      </c>
      <c r="C12" s="157">
        <f t="shared" si="0"/>
        <v>45751</v>
      </c>
      <c r="D12" s="158">
        <f>IF(VLOOKUP($B12,Datenblatt!$A$43:$A$65,1,1)=$B12,0,VLOOKUP(WEEKDAY($B12),Datenblatt!$R$33:$T$39,3,FALSE))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45752</v>
      </c>
      <c r="C13" s="157">
        <f t="shared" si="0"/>
        <v>45752</v>
      </c>
      <c r="D13" s="158">
        <f>IF(VLOOKUP($B13,Datenblatt!$A$43:$A$65,1,1)=$B13,0,VLOOKUP(WEEKDAY($B13),Datenblatt!$R$33:$T$39,3,FALSE))</f>
        <v>0</v>
      </c>
      <c r="E13" s="158">
        <f>IF(VLOOKUP($B13,Datenblatt!$A$43:$A$65,1,1)=$B13,0,IF(WEEKDAY($B13)=7,1,IF(WEEKDAY($B13)=1,0,2)))</f>
        <v>1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45753</v>
      </c>
      <c r="C14" s="157">
        <f t="shared" si="0"/>
        <v>45753</v>
      </c>
      <c r="D14" s="158">
        <f>IF(VLOOKUP($B14,Datenblatt!$A$43:$A$65,1,1)=$B14,0,VLOOKUP(WEEKDAY($B14),Datenblatt!$R$33:$T$39,3,FALSE))</f>
        <v>0</v>
      </c>
      <c r="E14" s="158">
        <f>IF(VLOOKUP($B14,Datenblatt!$A$43:$A$65,1,1)=$B14,0,IF(WEEKDAY($B14)=7,1,IF(WEEKDAY($B14)=1,0,2)))</f>
        <v>0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45754</v>
      </c>
      <c r="C15" s="157">
        <f t="shared" si="0"/>
        <v>45754</v>
      </c>
      <c r="D15" s="158">
        <f>IF(VLOOKUP($B15,Datenblatt!$A$43:$A$65,1,1)=$B15,0,VLOOKUP(WEEKDAY($B15),Datenblatt!$R$33:$T$39,3,FALSE))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45755</v>
      </c>
      <c r="C16" s="157">
        <f t="shared" si="0"/>
        <v>45755</v>
      </c>
      <c r="D16" s="158">
        <f>IF(VLOOKUP($B16,Datenblatt!$A$43:$A$65,1,1)=$B16,0,VLOOKUP(WEEKDAY($B16),Datenblatt!$R$33:$T$39,3,FALSE))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45756</v>
      </c>
      <c r="C17" s="157">
        <f t="shared" si="0"/>
        <v>45756</v>
      </c>
      <c r="D17" s="158">
        <f>IF(VLOOKUP($B17,Datenblatt!$A$43:$A$65,1,1)=$B17,0,VLOOKUP(WEEKDAY($B17),Datenblatt!$R$33:$T$39,3,FALSE))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45757</v>
      </c>
      <c r="C18" s="157">
        <f t="shared" si="0"/>
        <v>45757</v>
      </c>
      <c r="D18" s="158">
        <f>IF(VLOOKUP($B18,Datenblatt!$A$43:$A$65,1,1)=$B18,0,VLOOKUP(WEEKDAY($B18),Datenblatt!$R$33:$T$39,3,FALSE))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45758</v>
      </c>
      <c r="C19" s="157">
        <f t="shared" si="0"/>
        <v>45758</v>
      </c>
      <c r="D19" s="158">
        <f>IF(VLOOKUP($B19,Datenblatt!$A$43:$A$65,1,1)=$B19,0,VLOOKUP(WEEKDAY($B19),Datenblatt!$R$33:$T$39,3,FALSE))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45759</v>
      </c>
      <c r="C20" s="157">
        <f t="shared" si="0"/>
        <v>45759</v>
      </c>
      <c r="D20" s="158">
        <f>IF(VLOOKUP($B20,Datenblatt!$A$43:$A$65,1,1)=$B20,0,VLOOKUP(WEEKDAY($B20),Datenblatt!$R$33:$T$39,3,FALSE))</f>
        <v>0</v>
      </c>
      <c r="E20" s="158">
        <f>IF(VLOOKUP($B20,Datenblatt!$A$43:$A$65,1,1)=$B20,0,IF(WEEKDAY($B20)=7,1,IF(WEEKDAY($B20)=1,0,2)))</f>
        <v>1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45760</v>
      </c>
      <c r="C21" s="157">
        <f t="shared" si="0"/>
        <v>45760</v>
      </c>
      <c r="D21" s="158">
        <f>IF(VLOOKUP($B21,Datenblatt!$A$43:$A$65,1,1)=$B21,0,VLOOKUP(WEEKDAY($B21),Datenblatt!$R$33:$T$39,3,FALSE))</f>
        <v>0</v>
      </c>
      <c r="E21" s="158">
        <f>IF(VLOOKUP($B21,Datenblatt!$A$43:$A$65,1,1)=$B21,0,IF(WEEKDAY($B21)=7,1,IF(WEEKDAY($B21)=1,0,2)))</f>
        <v>0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45761</v>
      </c>
      <c r="C22" s="157">
        <f t="shared" si="0"/>
        <v>45761</v>
      </c>
      <c r="D22" s="158">
        <f>IF(VLOOKUP($B22,Datenblatt!$A$43:$A$65,1,1)=$B22,0,VLOOKUP(WEEKDAY($B22),Datenblatt!$R$33:$T$39,3,FALSE))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45762</v>
      </c>
      <c r="C23" s="157">
        <f t="shared" si="0"/>
        <v>45762</v>
      </c>
      <c r="D23" s="158">
        <f>IF(VLOOKUP($B23,Datenblatt!$A$43:$A$65,1,1)=$B23,0,VLOOKUP(WEEKDAY($B23),Datenblatt!$R$33:$T$39,3,FALSE))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45763</v>
      </c>
      <c r="C24" s="157">
        <f t="shared" si="0"/>
        <v>45763</v>
      </c>
      <c r="D24" s="158">
        <f>IF(VLOOKUP($B24,Datenblatt!$A$43:$A$65,1,1)=$B24,0,VLOOKUP(WEEKDAY($B24),Datenblatt!$R$33:$T$39,3,FALSE))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45764</v>
      </c>
      <c r="C25" s="157">
        <f t="shared" si="0"/>
        <v>45764</v>
      </c>
      <c r="D25" s="158">
        <f>IF(VLOOKUP($B25,Datenblatt!$A$43:$A$65,1,1)=$B25,0,VLOOKUP(WEEKDAY($B25),Datenblatt!$R$33:$T$39,3,FALSE))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45765</v>
      </c>
      <c r="C26" s="157">
        <f t="shared" si="0"/>
        <v>45765</v>
      </c>
      <c r="D26" s="158">
        <f>IF(VLOOKUP($B26,Datenblatt!$A$43:$A$65,1,1)=$B26,0,VLOOKUP(WEEKDAY($B26),Datenblatt!$R$33:$T$39,3,FALSE))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45766</v>
      </c>
      <c r="C27" s="157">
        <f t="shared" si="0"/>
        <v>45766</v>
      </c>
      <c r="D27" s="158">
        <f>IF(VLOOKUP($B27,Datenblatt!$A$43:$A$65,1,1)=$B27,0,VLOOKUP(WEEKDAY($B27),Datenblatt!$R$33:$T$39,3,FALSE))</f>
        <v>0</v>
      </c>
      <c r="E27" s="158">
        <f>IF(VLOOKUP($B27,Datenblatt!$A$43:$A$65,1,1)=$B27,0,IF(WEEKDAY($B27)=7,1,IF(WEEKDAY($B27)=1,0,2)))</f>
        <v>1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45767</v>
      </c>
      <c r="C28" s="157">
        <f t="shared" si="0"/>
        <v>45767</v>
      </c>
      <c r="D28" s="158">
        <f>IF(VLOOKUP($B28,Datenblatt!$A$43:$A$65,1,1)=$B28,0,VLOOKUP(WEEKDAY($B28),Datenblatt!$R$33:$T$39,3,FALSE))</f>
        <v>0</v>
      </c>
      <c r="E28" s="158">
        <f>IF(VLOOKUP($B28,Datenblatt!$A$43:$A$65,1,1)=$B28,0,IF(WEEKDAY($B28)=7,1,IF(WEEKDAY($B28)=1,0,2)))</f>
        <v>0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>Ostersonntag</v>
      </c>
      <c r="X28" s="402"/>
      <c r="Y28" s="403"/>
      <c r="AB28" s="171"/>
    </row>
    <row r="29" spans="2:129" ht="12.2" customHeight="1">
      <c r="B29" s="156">
        <f t="shared" si="1"/>
        <v>45768</v>
      </c>
      <c r="C29" s="157">
        <f t="shared" si="0"/>
        <v>45768</v>
      </c>
      <c r="D29" s="158">
        <f>IF(VLOOKUP($B29,Datenblatt!$A$43:$A$65,1,1)=$B29,0,VLOOKUP(WEEKDAY($B29),Datenblatt!$R$33:$T$39,3,FALSE))</f>
        <v>0</v>
      </c>
      <c r="E29" s="158">
        <f>IF(VLOOKUP($B29,Datenblatt!$A$43:$A$65,1,1)=$B29,0,IF(WEEKDAY($B29)=7,1,IF(WEEKDAY($B29)=1,0,2)))</f>
        <v>0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>Ostermontag</v>
      </c>
      <c r="X29" s="402"/>
      <c r="Y29" s="403"/>
      <c r="AB29" s="171"/>
    </row>
    <row r="30" spans="2:129" ht="12.2" customHeight="1">
      <c r="B30" s="156">
        <f t="shared" si="1"/>
        <v>45769</v>
      </c>
      <c r="C30" s="157">
        <f t="shared" si="0"/>
        <v>45769</v>
      </c>
      <c r="D30" s="158">
        <f>IF(VLOOKUP($B30,Datenblatt!$A$43:$A$65,1,1)=$B30,0,VLOOKUP(WEEKDAY($B30),Datenblatt!$R$33:$T$39,3,FALSE))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45770</v>
      </c>
      <c r="C31" s="157">
        <f t="shared" si="0"/>
        <v>45770</v>
      </c>
      <c r="D31" s="158">
        <f>IF(VLOOKUP($B31,Datenblatt!$A$43:$A$65,1,1)=$B31,0,VLOOKUP(WEEKDAY($B31),Datenblatt!$R$33:$T$39,3,FALSE))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45771</v>
      </c>
      <c r="C32" s="157">
        <f t="shared" si="0"/>
        <v>45771</v>
      </c>
      <c r="D32" s="158">
        <f>IF(VLOOKUP($B32,Datenblatt!$A$43:$A$65,1,1)=$B32,0,VLOOKUP(WEEKDAY($B32),Datenblatt!$R$33:$T$39,3,FALSE))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45772</v>
      </c>
      <c r="C33" s="157">
        <f t="shared" si="0"/>
        <v>45772</v>
      </c>
      <c r="D33" s="158">
        <f>IF(VLOOKUP($B33,Datenblatt!$A$43:$A$65,1,1)=$B33,0,VLOOKUP(WEEKDAY($B33),Datenblatt!$R$33:$T$39,3,FALSE))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45773</v>
      </c>
      <c r="C34" s="157">
        <f t="shared" si="0"/>
        <v>45773</v>
      </c>
      <c r="D34" s="158">
        <f>IF(VLOOKUP($B34,Datenblatt!$A$43:$A$65,1,1)=$B34,0,VLOOKUP(WEEKDAY($B34),Datenblatt!$R$33:$T$39,3,FALSE))</f>
        <v>0</v>
      </c>
      <c r="E34" s="158">
        <f>IF(VLOOKUP($B34,Datenblatt!$A$43:$A$65,1,1)=$B34,0,IF(WEEKDAY($B34)=7,1,IF(WEEKDAY($B34)=1,0,2)))</f>
        <v>1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45774</v>
      </c>
      <c r="C35" s="157">
        <f t="shared" si="0"/>
        <v>45774</v>
      </c>
      <c r="D35" s="158">
        <f>IF(VLOOKUP($B35,Datenblatt!$A$43:$A$65,1,1)=$B35,0,VLOOKUP(WEEKDAY($B35),Datenblatt!$R$33:$T$39,3,FALSE))</f>
        <v>0</v>
      </c>
      <c r="E35" s="158">
        <f>IF(VLOOKUP($B35,Datenblatt!$A$43:$A$65,1,1)=$B35,0,IF(WEEKDAY($B35)=7,1,IF(WEEKDAY($B35)=1,0,2)))</f>
        <v>0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45775</v>
      </c>
      <c r="C36" s="157">
        <f t="shared" si="0"/>
        <v>45775</v>
      </c>
      <c r="D36" s="158">
        <f>IF(VLOOKUP($B36,Datenblatt!$A$43:$A$65,1,1)=$B36,0,VLOOKUP(WEEKDAY($B36),Datenblatt!$R$33:$T$39,3,FALSE))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45776</v>
      </c>
      <c r="C37" s="157">
        <f t="shared" si="0"/>
        <v>45776</v>
      </c>
      <c r="D37" s="158">
        <f>IF(VLOOKUP($B37,Datenblatt!$A$43:$A$65,1,1)=$B37,0,VLOOKUP(WEEKDAY($B37),Datenblatt!$R$33:$T$39,3,FALSE))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45777</v>
      </c>
      <c r="C38" s="157">
        <f t="shared" si="0"/>
        <v>45777</v>
      </c>
      <c r="D38" s="158">
        <f>IF(VLOOKUP($B38,Datenblatt!$A$43:$A$65,1,1)=$B38,0,VLOOKUP(WEEKDAY($B38),Datenblatt!$R$33:$T$39,3,FALSE))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>IF((F39+P39+Q39=0),"",(G39-F39)-(I39-H39)-(K39-J39)-(M39-L39)+P39+Q39)</f>
        <v/>
      </c>
      <c r="S39" s="351"/>
      <c r="T39" s="168" t="str">
        <f>IF((N39+O39=0),"",(N39*0.66)+O39)</f>
        <v/>
      </c>
      <c r="U39" s="169" t="str">
        <f>IF((F39+P39+Q39=0),"",(G39-F39)-(I39-H39)-(K39-J39)-(M39-L39)+P39+Q39+(N39*0.66)+O39)</f>
        <v/>
      </c>
      <c r="V39" s="170"/>
      <c r="W39" s="421"/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21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April "&amp;Datenblatt!$F$5&amp;":"</f>
        <v>Sollstunden für April 2025:</v>
      </c>
      <c r="N41" s="66"/>
      <c r="O41" s="66"/>
      <c r="P41" s="186"/>
      <c r="R41" s="187"/>
      <c r="S41" s="187"/>
      <c r="T41" s="395">
        <f>SUM(D9:D39)</f>
        <v>168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April "&amp;Datenblatt!F5&amp;":   ","Zeitdefizit im Monat April "&amp;Datenblatt!F5&amp;":   ")</f>
        <v xml:space="preserve">Zeitdefizit im Monat April 2025:   </v>
      </c>
      <c r="N42" s="190"/>
      <c r="O42" s="190"/>
      <c r="R42" s="191"/>
      <c r="S42" s="191"/>
      <c r="T42" s="409">
        <f>U40-SUM(D9:D39)</f>
        <v>-168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März "&amp;Datenblatt!F5-1&amp;":   ","  - Zeitdefizit aus März "&amp;Datenblatt!F5&amp;":   ")</f>
        <v xml:space="preserve">  - Zeitdefizit aus März 2025:   </v>
      </c>
      <c r="T43" s="410">
        <f>März!T44</f>
        <v>-496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Mai "&amp;Datenblatt!F5</f>
        <v>Übertrag für Mai 2025</v>
      </c>
      <c r="R44" s="196"/>
      <c r="S44" s="196"/>
      <c r="T44" s="411">
        <f>T43+T42-I42</f>
        <v>-664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58" priority="1" stopIfTrue="1" operator="equal">
      <formula>MATCH($E15,0)</formula>
    </cfRule>
    <cfRule type="expression" dxfId="57" priority="2" stopIfTrue="1">
      <formula>"WOCHENTAG($B8)=1"</formula>
    </cfRule>
    <cfRule type="expression" dxfId="56" priority="3" stopIfTrue="1">
      <formula>"WOCHENTAG($B8)=7"</formula>
    </cfRule>
  </conditionalFormatting>
  <conditionalFormatting sqref="B9:C38">
    <cfRule type="expression" dxfId="55" priority="8" stopIfTrue="1">
      <formula>($E9=1)</formula>
    </cfRule>
  </conditionalFormatting>
  <conditionalFormatting sqref="B9:U38 W9:W38">
    <cfRule type="expression" dxfId="54" priority="4" stopIfTrue="1">
      <formula>($E9=0)</formula>
    </cfRule>
    <cfRule type="expression" dxfId="53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22" sqref="W22:Y22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4" width="11.42578125" style="94" hidden="1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DATE(Datenblatt!F5,5,1)</f>
        <v>45778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"&amp;Datenblatt!$W$33&amp;";"&amp;"    Di: "&amp;Datenblatt!$W$34&amp;";"&amp;"    Mi: "&amp;Datenblatt!$W$35&amp;";"&amp;"    Do: "&amp;Datenblatt!$W$36&amp;";"&amp;"    Fr: "&amp;Datenblatt!$W$37&amp;";"&amp;"    Sa: "&amp;Datenblatt!$W$38&amp;";"&amp;"    So: "&amp;Datenblatt!$W$39&amp;""&amp;"     -    Wochenarbeitszeit:  "&amp;Datenblatt!$W$40&amp;"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April!U5+Datenblatt!W41</f>
        <v>190</v>
      </c>
      <c r="V4" s="413"/>
      <c r="W4" s="141"/>
      <c r="X4" s="142" t="str">
        <f>"Urlaubsanspruch per 01.05."&amp;Datenblatt!$F$5</f>
        <v>Urlaubsanspruch per 01.05.2025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31.05."&amp;Datenblatt!$F$5</f>
        <v>Resturlaub per 31.05.2025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45778</v>
      </c>
      <c r="C9" s="157">
        <f t="shared" ref="C9:C39" si="0">B9</f>
        <v>45778</v>
      </c>
      <c r="D9" s="158">
        <f>IF(VLOOKUP($B9,Datenblatt!$A$43:$A$65,1,1)=$B9,0,VLOOKUP(WEEKDAY($B9),Datenblatt!$U$33:$W$39,3,FALSE))</f>
        <v>0</v>
      </c>
      <c r="E9" s="158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>Staatsfeiertag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45779</v>
      </c>
      <c r="C10" s="157">
        <f t="shared" si="0"/>
        <v>45779</v>
      </c>
      <c r="D10" s="158">
        <f>IF(VLOOKUP($B10,Datenblatt!$A$43:$A$65,1,1)=$B10,0,VLOOKUP(WEEKDAY($B10),Datenblatt!$U$33:$W$39,3,FALSE))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45780</v>
      </c>
      <c r="C11" s="157">
        <f t="shared" si="0"/>
        <v>45780</v>
      </c>
      <c r="D11" s="158">
        <f>IF(VLOOKUP($B11,Datenblatt!$A$43:$A$65,1,1)=$B11,0,VLOOKUP(WEEKDAY($B11),Datenblatt!$U$33:$W$39,3,FALSE))</f>
        <v>0</v>
      </c>
      <c r="E11" s="158">
        <f>IF(VLOOKUP($B11,Datenblatt!$A$43:$A$65,1,1)=$B11,0,IF(WEEKDAY($B11)=7,1,IF(WEEKDAY($B11)=1,0,2)))</f>
        <v>1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45781</v>
      </c>
      <c r="C12" s="157">
        <f t="shared" si="0"/>
        <v>45781</v>
      </c>
      <c r="D12" s="158">
        <f>IF(VLOOKUP($B12,Datenblatt!$A$43:$A$65,1,1)=$B12,0,VLOOKUP(WEEKDAY($B12),Datenblatt!$U$33:$W$39,3,FALSE))</f>
        <v>0</v>
      </c>
      <c r="E12" s="158">
        <f>IF(VLOOKUP($B12,Datenblatt!$A$43:$A$65,1,1)=$B12,0,IF(WEEKDAY($B12)=7,1,IF(WEEKDAY($B12)=1,0,2)))</f>
        <v>0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45782</v>
      </c>
      <c r="C13" s="157">
        <f t="shared" si="0"/>
        <v>45782</v>
      </c>
      <c r="D13" s="158">
        <f>IF(VLOOKUP($B13,Datenblatt!$A$43:$A$65,1,1)=$B13,0,VLOOKUP(WEEKDAY($B13),Datenblatt!$U$33:$W$39,3,FALSE))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45783</v>
      </c>
      <c r="C14" s="157">
        <f t="shared" si="0"/>
        <v>45783</v>
      </c>
      <c r="D14" s="158">
        <f>IF(VLOOKUP($B14,Datenblatt!$A$43:$A$65,1,1)=$B14,0,VLOOKUP(WEEKDAY($B14),Datenblatt!$U$33:$W$39,3,FALSE))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45784</v>
      </c>
      <c r="C15" s="157">
        <f t="shared" si="0"/>
        <v>45784</v>
      </c>
      <c r="D15" s="158">
        <f>IF(VLOOKUP($B15,Datenblatt!$A$43:$A$65,1,1)=$B15,0,VLOOKUP(WEEKDAY($B15),Datenblatt!$U$33:$W$39,3,FALSE))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45785</v>
      </c>
      <c r="C16" s="157">
        <f t="shared" si="0"/>
        <v>45785</v>
      </c>
      <c r="D16" s="158">
        <f>IF(VLOOKUP($B16,Datenblatt!$A$43:$A$65,1,1)=$B16,0,VLOOKUP(WEEKDAY($B16),Datenblatt!$U$33:$W$39,3,FALSE))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45786</v>
      </c>
      <c r="C17" s="157">
        <f t="shared" si="0"/>
        <v>45786</v>
      </c>
      <c r="D17" s="158">
        <f>IF(VLOOKUP($B17,Datenblatt!$A$43:$A$65,1,1)=$B17,0,VLOOKUP(WEEKDAY($B17),Datenblatt!$U$33:$W$39,3,FALSE))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45787</v>
      </c>
      <c r="C18" s="157">
        <f t="shared" si="0"/>
        <v>45787</v>
      </c>
      <c r="D18" s="158">
        <f>IF(VLOOKUP($B18,Datenblatt!$A$43:$A$65,1,1)=$B18,0,VLOOKUP(WEEKDAY($B18),Datenblatt!$U$33:$W$39,3,FALSE))</f>
        <v>0</v>
      </c>
      <c r="E18" s="158">
        <f>IF(VLOOKUP($B18,Datenblatt!$A$43:$A$65,1,1)=$B18,0,IF(WEEKDAY($B18)=7,1,IF(WEEKDAY($B18)=1,0,2)))</f>
        <v>1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45788</v>
      </c>
      <c r="C19" s="157">
        <f t="shared" si="0"/>
        <v>45788</v>
      </c>
      <c r="D19" s="158">
        <f>IF(VLOOKUP($B19,Datenblatt!$A$43:$A$65,1,1)=$B19,0,VLOOKUP(WEEKDAY($B19),Datenblatt!$U$33:$W$39,3,FALSE))</f>
        <v>0</v>
      </c>
      <c r="E19" s="158">
        <f>IF(VLOOKUP($B19,Datenblatt!$A$43:$A$65,1,1)=$B19,0,IF(WEEKDAY($B19)=7,1,IF(WEEKDAY($B19)=1,0,2)))</f>
        <v>0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45789</v>
      </c>
      <c r="C20" s="157">
        <f t="shared" si="0"/>
        <v>45789</v>
      </c>
      <c r="D20" s="158">
        <f>IF(VLOOKUP($B20,Datenblatt!$A$43:$A$65,1,1)=$B20,0,VLOOKUP(WEEKDAY($B20),Datenblatt!$U$33:$W$39,3,FALSE))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45790</v>
      </c>
      <c r="C21" s="157">
        <f t="shared" si="0"/>
        <v>45790</v>
      </c>
      <c r="D21" s="158">
        <f>IF(VLOOKUP($B21,Datenblatt!$A$43:$A$65,1,1)=$B21,0,VLOOKUP(WEEKDAY($B21),Datenblatt!$U$33:$W$39,3,FALSE))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45791</v>
      </c>
      <c r="C22" s="157">
        <f t="shared" si="0"/>
        <v>45791</v>
      </c>
      <c r="D22" s="158">
        <f>IF(VLOOKUP($B22,Datenblatt!$A$43:$A$65,1,1)=$B22,0,VLOOKUP(WEEKDAY($B22),Datenblatt!$U$33:$W$39,3,FALSE))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45792</v>
      </c>
      <c r="C23" s="157">
        <f t="shared" si="0"/>
        <v>45792</v>
      </c>
      <c r="D23" s="158">
        <f>IF(VLOOKUP($B23,Datenblatt!$A$43:$A$65,1,1)=$B23,0,VLOOKUP(WEEKDAY($B23),Datenblatt!$U$33:$W$39,3,FALSE))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45793</v>
      </c>
      <c r="C24" s="157">
        <f t="shared" si="0"/>
        <v>45793</v>
      </c>
      <c r="D24" s="158">
        <f>IF(VLOOKUP($B24,Datenblatt!$A$43:$A$65,1,1)=$B24,0,VLOOKUP(WEEKDAY($B24),Datenblatt!$U$33:$W$39,3,FALSE))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45794</v>
      </c>
      <c r="C25" s="157">
        <f t="shared" si="0"/>
        <v>45794</v>
      </c>
      <c r="D25" s="158">
        <f>IF(VLOOKUP($B25,Datenblatt!$A$43:$A$65,1,1)=$B25,0,VLOOKUP(WEEKDAY($B25),Datenblatt!$U$33:$W$39,3,FALSE))</f>
        <v>0</v>
      </c>
      <c r="E25" s="158">
        <f>IF(VLOOKUP($B25,Datenblatt!$A$43:$A$65,1,1)=$B25,0,IF(WEEKDAY($B25)=7,1,IF(WEEKDAY($B25)=1,0,2)))</f>
        <v>1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45795</v>
      </c>
      <c r="C26" s="157">
        <f t="shared" si="0"/>
        <v>45795</v>
      </c>
      <c r="D26" s="158">
        <f>IF(VLOOKUP($B26,Datenblatt!$A$43:$A$65,1,1)=$B26,0,VLOOKUP(WEEKDAY($B26),Datenblatt!$U$33:$W$39,3,FALSE))</f>
        <v>0</v>
      </c>
      <c r="E26" s="158">
        <f>IF(VLOOKUP($B26,Datenblatt!$A$43:$A$65,1,1)=$B26,0,IF(WEEKDAY($B26)=7,1,IF(WEEKDAY($B26)=1,0,2)))</f>
        <v>0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45796</v>
      </c>
      <c r="C27" s="157">
        <f t="shared" si="0"/>
        <v>45796</v>
      </c>
      <c r="D27" s="158">
        <f>IF(VLOOKUP($B27,Datenblatt!$A$43:$A$65,1,1)=$B27,0,VLOOKUP(WEEKDAY($B27),Datenblatt!$U$33:$W$39,3,FALSE))</f>
        <v>8</v>
      </c>
      <c r="E27" s="158">
        <f>IF(VLOOKUP($B27,Datenblatt!$A$43:$A$65,1,1)=$B27,0,IF(WEEKDAY($B27)=7,1,IF(WEEKDAY($B27)=1,0,2)))</f>
        <v>2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45797</v>
      </c>
      <c r="C28" s="157">
        <f t="shared" si="0"/>
        <v>45797</v>
      </c>
      <c r="D28" s="158">
        <f>IF(VLOOKUP($B28,Datenblatt!$A$43:$A$65,1,1)=$B28,0,VLOOKUP(WEEKDAY($B28),Datenblatt!$U$33:$W$39,3,FALSE))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45798</v>
      </c>
      <c r="C29" s="157">
        <f t="shared" si="0"/>
        <v>45798</v>
      </c>
      <c r="D29" s="158">
        <f>IF(VLOOKUP($B29,Datenblatt!$A$43:$A$65,1,1)=$B29,0,VLOOKUP(WEEKDAY($B29),Datenblatt!$U$33:$W$39,3,FALSE))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45799</v>
      </c>
      <c r="C30" s="157">
        <f t="shared" si="0"/>
        <v>45799</v>
      </c>
      <c r="D30" s="158">
        <f>IF(VLOOKUP($B30,Datenblatt!$A$43:$A$65,1,1)=$B30,0,VLOOKUP(WEEKDAY($B30),Datenblatt!$U$33:$W$39,3,FALSE))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45800</v>
      </c>
      <c r="C31" s="157">
        <f t="shared" si="0"/>
        <v>45800</v>
      </c>
      <c r="D31" s="158">
        <f>IF(VLOOKUP($B31,Datenblatt!$A$43:$A$65,1,1)=$B31,0,VLOOKUP(WEEKDAY($B31),Datenblatt!$U$33:$W$39,3,FALSE))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45801</v>
      </c>
      <c r="C32" s="157">
        <f t="shared" si="0"/>
        <v>45801</v>
      </c>
      <c r="D32" s="158">
        <f>IF(VLOOKUP($B32,Datenblatt!$A$43:$A$65,1,1)=$B32,0,VLOOKUP(WEEKDAY($B32),Datenblatt!$U$33:$W$39,3,FALSE))</f>
        <v>0</v>
      </c>
      <c r="E32" s="158">
        <f>IF(VLOOKUP($B32,Datenblatt!$A$43:$A$65,1,1)=$B32,0,IF(WEEKDAY($B32)=7,1,IF(WEEKDAY($B32)=1,0,2)))</f>
        <v>1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45802</v>
      </c>
      <c r="C33" s="157">
        <f t="shared" si="0"/>
        <v>45802</v>
      </c>
      <c r="D33" s="158">
        <f>IF(VLOOKUP($B33,Datenblatt!$A$43:$A$65,1,1)=$B33,0,VLOOKUP(WEEKDAY($B33),Datenblatt!$U$33:$W$39,3,FALSE))</f>
        <v>0</v>
      </c>
      <c r="E33" s="158">
        <f>IF(VLOOKUP($B33,Datenblatt!$A$43:$A$65,1,1)=$B33,0,IF(WEEKDAY($B33)=7,1,IF(WEEKDAY($B33)=1,0,2)))</f>
        <v>0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45803</v>
      </c>
      <c r="C34" s="157">
        <f t="shared" si="0"/>
        <v>45803</v>
      </c>
      <c r="D34" s="158">
        <f>IF(VLOOKUP($B34,Datenblatt!$A$43:$A$65,1,1)=$B34,0,VLOOKUP(WEEKDAY($B34),Datenblatt!$U$33:$W$39,3,FALSE))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45804</v>
      </c>
      <c r="C35" s="157">
        <f t="shared" si="0"/>
        <v>45804</v>
      </c>
      <c r="D35" s="158">
        <f>IF(VLOOKUP($B35,Datenblatt!$A$43:$A$65,1,1)=$B35,0,VLOOKUP(WEEKDAY($B35),Datenblatt!$U$33:$W$39,3,FALSE))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45805</v>
      </c>
      <c r="C36" s="157">
        <f t="shared" si="0"/>
        <v>45805</v>
      </c>
      <c r="D36" s="158">
        <f>IF(VLOOKUP($B36,Datenblatt!$A$43:$A$65,1,1)=$B36,0,VLOOKUP(WEEKDAY($B36),Datenblatt!$U$33:$W$39,3,FALSE))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45806</v>
      </c>
      <c r="C37" s="157">
        <f t="shared" si="0"/>
        <v>45806</v>
      </c>
      <c r="D37" s="158">
        <f>IF(VLOOKUP($B37,Datenblatt!$A$43:$A$65,1,1)=$B37,0,VLOOKUP(WEEKDAY($B37),Datenblatt!$U$33:$W$39,3,FALSE))</f>
        <v>0</v>
      </c>
      <c r="E37" s="158">
        <f>IF(VLOOKUP($B37,Datenblatt!$A$43:$A$65,1,1)=$B37,0,IF(WEEKDAY($B37)=7,1,IF(WEEKDAY($B37)=1,0,2)))</f>
        <v>0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>Christi Himmelfahrt</v>
      </c>
      <c r="X37" s="402"/>
      <c r="Y37" s="403"/>
      <c r="AB37" s="171"/>
    </row>
    <row r="38" spans="2:129" ht="12.2" customHeight="1">
      <c r="B38" s="156">
        <f t="shared" si="1"/>
        <v>45807</v>
      </c>
      <c r="C38" s="157">
        <f t="shared" si="0"/>
        <v>45807</v>
      </c>
      <c r="D38" s="158">
        <f>IF(VLOOKUP($B38,Datenblatt!$A$43:$A$65,1,1)=$B38,0,VLOOKUP(WEEKDAY($B38),Datenblatt!$U$33:$W$39,3,FALSE))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45808</v>
      </c>
      <c r="C39" s="157">
        <f t="shared" si="0"/>
        <v>45808</v>
      </c>
      <c r="D39" s="158">
        <f>IF(VLOOKUP($B39,Datenblatt!$A$43:$A$65,1,1)=$B39,0,VLOOKUP(WEEKDAY($B39),Datenblatt!$U$33:$W$39,3,FALSE))</f>
        <v>0</v>
      </c>
      <c r="E39" s="158">
        <f>IF(VLOOKUP($B39,Datenblatt!$A$43:$A$65,1,1)=$B39,0,IF(WEEKDAY($B39)=7,1,IF(WEEKDAY($B39)=1,0,2)))</f>
        <v>1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Mai "&amp;Datenblatt!$F$5&amp;":"</f>
        <v>Sollstunden für Mai 2025:</v>
      </c>
      <c r="N41" s="66"/>
      <c r="O41" s="66"/>
      <c r="P41" s="186"/>
      <c r="R41" s="187"/>
      <c r="S41" s="187"/>
      <c r="T41" s="395">
        <f>SUM(D9:D39)</f>
        <v>160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Mai "&amp;Datenblatt!F5&amp;":   ","Zeitdefizit im Monat Mai "&amp;Datenblatt!F5&amp;":   ")</f>
        <v xml:space="preserve">Zeitdefizit im Monat Mai 2025:   </v>
      </c>
      <c r="N42" s="190"/>
      <c r="O42" s="190"/>
      <c r="R42" s="191"/>
      <c r="S42" s="191"/>
      <c r="T42" s="409">
        <f>U40-SUM(D9:D39)</f>
        <v>-160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April "&amp;Datenblatt!F5-1&amp;":   ","  - Zeitdefizit aus April "&amp;Datenblatt!F5&amp;":   ")</f>
        <v xml:space="preserve">  - Zeitdefizit aus April 2025:   </v>
      </c>
      <c r="T43" s="410">
        <f>April!T44</f>
        <v>-664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Juni "&amp;Datenblatt!F5</f>
        <v>Übertrag für Juni 2025</v>
      </c>
      <c r="R44" s="196"/>
      <c r="S44" s="196"/>
      <c r="T44" s="411">
        <f>T43+T42-I42</f>
        <v>-824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52" priority="1" stopIfTrue="1" operator="equal">
      <formula>MATCH($E15,0)</formula>
    </cfRule>
    <cfRule type="expression" dxfId="51" priority="2" stopIfTrue="1">
      <formula>"WOCHENTAG($B8)=1"</formula>
    </cfRule>
    <cfRule type="expression" dxfId="50" priority="3" stopIfTrue="1">
      <formula>"WOCHENTAG($B8)=7"</formula>
    </cfRule>
  </conditionalFormatting>
  <conditionalFormatting sqref="B9:C39">
    <cfRule type="expression" dxfId="49" priority="8" stopIfTrue="1">
      <formula>($E9=1)</formula>
    </cfRule>
  </conditionalFormatting>
  <conditionalFormatting sqref="B9:U39 W9:W39">
    <cfRule type="expression" dxfId="48" priority="4" stopIfTrue="1">
      <formula>($E9=0)</formula>
    </cfRule>
    <cfRule type="expression" dxfId="47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2" sqref="W12:Y12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42578125" style="94" customWidth="1"/>
    <col min="4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DATE(Datenblatt!F5,6,1)</f>
        <v>45809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"&amp;Datenblatt!$Z$33&amp;";"&amp;"    Di: "&amp;Datenblatt!$Z$34&amp;";"&amp;"    Mi: "&amp;Datenblatt!$Z$35&amp;";"&amp;"    Do: "&amp;Datenblatt!$Z$36&amp;";"&amp;"    Fr: "&amp;Datenblatt!$Z$37&amp;";"&amp;"    Sa: "&amp;Datenblatt!$Z$38&amp;";"&amp;"    So: "&amp;Datenblatt!$Z$39&amp;""&amp;"     -    Wochenarbeitszeit:  "&amp;Datenblatt!$Z$40&amp;"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Mai!U5+Datenblatt!Z41</f>
        <v>190</v>
      </c>
      <c r="V4" s="413"/>
      <c r="W4" s="141"/>
      <c r="X4" s="142" t="str">
        <f>"Urlaubsanspruch per 01.06."&amp;Datenblatt!$F$5</f>
        <v>Urlaubsanspruch per 01.06.2025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30.06."&amp;Datenblatt!$F$5</f>
        <v>Resturlaub per 30.06.2025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45809</v>
      </c>
      <c r="C9" s="157">
        <f t="shared" ref="C9:C38" si="0">B9</f>
        <v>45809</v>
      </c>
      <c r="D9" s="158">
        <f>IF(VLOOKUP($B9,Datenblatt!$A$43:$A$65,1,1)=$B9,0,VLOOKUP(WEEKDAY($B9),Datenblatt!$X$33:$Z$39,3,FALSE))</f>
        <v>0</v>
      </c>
      <c r="E9" s="158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8" si="1">B9+1</f>
        <v>45810</v>
      </c>
      <c r="C10" s="157">
        <f t="shared" si="0"/>
        <v>45810</v>
      </c>
      <c r="D10" s="158">
        <f>IF(VLOOKUP($B10,Datenblatt!$A$43:$A$65,1,1)=$B10,0,VLOOKUP(WEEKDAY($B10),Datenblatt!$X$33:$Z$39,3,FALSE))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8" si="2">IF((F10+P10+Q10=0),"",(G10-F10)-(I10-H10)-(K10-J10)-(M10-L10)+P10+Q10)</f>
        <v/>
      </c>
      <c r="S10" s="351" t="str">
        <f t="shared" ref="S10:S38" si="3">IF((N10+O10=0),"",(N10*0.66))</f>
        <v/>
      </c>
      <c r="T10" s="168" t="str">
        <f t="shared" ref="T10:T38" si="4">IF(U10="","",U10-R10)</f>
        <v/>
      </c>
      <c r="U10" s="169" t="str">
        <f t="shared" ref="U10:U38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45811</v>
      </c>
      <c r="C11" s="157">
        <f t="shared" si="0"/>
        <v>45811</v>
      </c>
      <c r="D11" s="158">
        <f>IF(VLOOKUP($B11,Datenblatt!$A$43:$A$65,1,1)=$B11,0,VLOOKUP(WEEKDAY($B11),Datenblatt!$X$33:$Z$39,3,FALSE))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45812</v>
      </c>
      <c r="C12" s="157">
        <f t="shared" si="0"/>
        <v>45812</v>
      </c>
      <c r="D12" s="158">
        <f>IF(VLOOKUP($B12,Datenblatt!$A$43:$A$65,1,1)=$B12,0,VLOOKUP(WEEKDAY($B12),Datenblatt!$X$33:$Z$39,3,FALSE))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45813</v>
      </c>
      <c r="C13" s="157">
        <f t="shared" si="0"/>
        <v>45813</v>
      </c>
      <c r="D13" s="158">
        <f>IF(VLOOKUP($B13,Datenblatt!$A$43:$A$65,1,1)=$B13,0,VLOOKUP(WEEKDAY($B13),Datenblatt!$X$33:$Z$39,3,FALSE))</f>
        <v>8</v>
      </c>
      <c r="E13" s="158">
        <f>IF(VLOOKUP($B13,Datenblatt!$A$43:$A$65,1,1)=$B13,0,IF(WEEKDAY($B13)=7,1,IF(WEEKDAY($B13)=1,0,2)))</f>
        <v>2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45814</v>
      </c>
      <c r="C14" s="157">
        <f t="shared" si="0"/>
        <v>45814</v>
      </c>
      <c r="D14" s="158">
        <f>IF(VLOOKUP($B14,Datenblatt!$A$43:$A$65,1,1)=$B14,0,VLOOKUP(WEEKDAY($B14),Datenblatt!$X$33:$Z$39,3,FALSE))</f>
        <v>8</v>
      </c>
      <c r="E14" s="158">
        <f>IF(VLOOKUP($B14,Datenblatt!$A$43:$A$65,1,1)=$B14,0,IF(WEEKDAY($B14)=7,1,IF(WEEKDAY($B14)=1,0,2)))</f>
        <v>2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45815</v>
      </c>
      <c r="C15" s="157">
        <f t="shared" si="0"/>
        <v>45815</v>
      </c>
      <c r="D15" s="158">
        <f>IF(VLOOKUP($B15,Datenblatt!$A$43:$A$65,1,1)=$B15,0,VLOOKUP(WEEKDAY($B15),Datenblatt!$X$33:$Z$39,3,FALSE))</f>
        <v>0</v>
      </c>
      <c r="E15" s="158">
        <f>IF(VLOOKUP($B15,Datenblatt!$A$43:$A$65,1,1)=$B15,0,IF(WEEKDAY($B15)=7,1,IF(WEEKDAY($B15)=1,0,2)))</f>
        <v>1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45816</v>
      </c>
      <c r="C16" s="157">
        <f t="shared" si="0"/>
        <v>45816</v>
      </c>
      <c r="D16" s="158">
        <f>IF(VLOOKUP($B16,Datenblatt!$A$43:$A$65,1,1)=$B16,0,VLOOKUP(WEEKDAY($B16),Datenblatt!$X$33:$Z$39,3,FALSE))</f>
        <v>0</v>
      </c>
      <c r="E16" s="158">
        <f>IF(VLOOKUP($B16,Datenblatt!$A$43:$A$65,1,1)=$B16,0,IF(WEEKDAY($B16)=7,1,IF(WEEKDAY($B16)=1,0,2)))</f>
        <v>0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>Pfingstruhetag</v>
      </c>
      <c r="X16" s="402"/>
      <c r="Y16" s="403"/>
      <c r="AB16" s="171"/>
    </row>
    <row r="17" spans="2:129" ht="12.2" customHeight="1">
      <c r="B17" s="156">
        <f t="shared" si="1"/>
        <v>45817</v>
      </c>
      <c r="C17" s="157">
        <f t="shared" si="0"/>
        <v>45817</v>
      </c>
      <c r="D17" s="158">
        <f>IF(VLOOKUP($B17,Datenblatt!$A$43:$A$65,1,1)=$B17,0,VLOOKUP(WEEKDAY($B17),Datenblatt!$X$33:$Z$39,3,FALSE))</f>
        <v>0</v>
      </c>
      <c r="E17" s="158">
        <f>IF(VLOOKUP($B17,Datenblatt!$A$43:$A$65,1,1)=$B17,0,IF(WEEKDAY($B17)=7,1,IF(WEEKDAY($B17)=1,0,2)))</f>
        <v>0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>Pfingstmontag</v>
      </c>
      <c r="X17" s="402"/>
      <c r="Y17" s="403"/>
      <c r="AB17" s="171"/>
    </row>
    <row r="18" spans="2:129" ht="12.2" customHeight="1">
      <c r="B18" s="156">
        <f t="shared" si="1"/>
        <v>45818</v>
      </c>
      <c r="C18" s="157">
        <f t="shared" si="0"/>
        <v>45818</v>
      </c>
      <c r="D18" s="158">
        <f>IF(VLOOKUP($B18,Datenblatt!$A$43:$A$65,1,1)=$B18,0,VLOOKUP(WEEKDAY($B18),Datenblatt!$X$33:$Z$39,3,FALSE))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45819</v>
      </c>
      <c r="C19" s="157">
        <f t="shared" si="0"/>
        <v>45819</v>
      </c>
      <c r="D19" s="158">
        <f>IF(VLOOKUP($B19,Datenblatt!$A$43:$A$65,1,1)=$B19,0,VLOOKUP(WEEKDAY($B19),Datenblatt!$X$33:$Z$39,3,FALSE))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45820</v>
      </c>
      <c r="C20" s="157">
        <f t="shared" si="0"/>
        <v>45820</v>
      </c>
      <c r="D20" s="158">
        <f>IF(VLOOKUP($B20,Datenblatt!$A$43:$A$65,1,1)=$B20,0,VLOOKUP(WEEKDAY($B20),Datenblatt!$X$33:$Z$39,3,FALSE))</f>
        <v>8</v>
      </c>
      <c r="E20" s="158">
        <f>IF(VLOOKUP($B20,Datenblatt!$A$43:$A$65,1,1)=$B20,0,IF(WEEKDAY($B20)=7,1,IF(WEEKDAY($B20)=1,0,2)))</f>
        <v>2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45821</v>
      </c>
      <c r="C21" s="157">
        <f t="shared" si="0"/>
        <v>45821</v>
      </c>
      <c r="D21" s="158">
        <f>IF(VLOOKUP($B21,Datenblatt!$A$43:$A$65,1,1)=$B21,0,VLOOKUP(WEEKDAY($B21),Datenblatt!$X$33:$Z$39,3,FALSE))</f>
        <v>8</v>
      </c>
      <c r="E21" s="158">
        <f>IF(VLOOKUP($B21,Datenblatt!$A$43:$A$65,1,1)=$B21,0,IF(WEEKDAY($B21)=7,1,IF(WEEKDAY($B21)=1,0,2)))</f>
        <v>2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45822</v>
      </c>
      <c r="C22" s="157">
        <f t="shared" si="0"/>
        <v>45822</v>
      </c>
      <c r="D22" s="158">
        <f>IF(VLOOKUP($B22,Datenblatt!$A$43:$A$65,1,1)=$B22,0,VLOOKUP(WEEKDAY($B22),Datenblatt!$X$33:$Z$39,3,FALSE))</f>
        <v>0</v>
      </c>
      <c r="E22" s="158">
        <f>IF(VLOOKUP($B22,Datenblatt!$A$43:$A$65,1,1)=$B22,0,IF(WEEKDAY($B22)=7,1,IF(WEEKDAY($B22)=1,0,2)))</f>
        <v>1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45823</v>
      </c>
      <c r="C23" s="157">
        <f t="shared" si="0"/>
        <v>45823</v>
      </c>
      <c r="D23" s="158">
        <f>IF(VLOOKUP($B23,Datenblatt!$A$43:$A$65,1,1)=$B23,0,VLOOKUP(WEEKDAY($B23),Datenblatt!$X$33:$Z$39,3,FALSE))</f>
        <v>0</v>
      </c>
      <c r="E23" s="158">
        <f>IF(VLOOKUP($B23,Datenblatt!$A$43:$A$65,1,1)=$B23,0,IF(WEEKDAY($B23)=7,1,IF(WEEKDAY($B23)=1,0,2)))</f>
        <v>0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45824</v>
      </c>
      <c r="C24" s="157">
        <f t="shared" si="0"/>
        <v>45824</v>
      </c>
      <c r="D24" s="158">
        <f>IF(VLOOKUP($B24,Datenblatt!$A$43:$A$65,1,1)=$B24,0,VLOOKUP(WEEKDAY($B24),Datenblatt!$X$33:$Z$39,3,FALSE))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45825</v>
      </c>
      <c r="C25" s="157">
        <f t="shared" si="0"/>
        <v>45825</v>
      </c>
      <c r="D25" s="158">
        <f>IF(VLOOKUP($B25,Datenblatt!$A$43:$A$65,1,1)=$B25,0,VLOOKUP(WEEKDAY($B25),Datenblatt!$X$33:$Z$39,3,FALSE))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45826</v>
      </c>
      <c r="C26" s="157">
        <f t="shared" si="0"/>
        <v>45826</v>
      </c>
      <c r="D26" s="158">
        <f>IF(VLOOKUP($B26,Datenblatt!$A$43:$A$65,1,1)=$B26,0,VLOOKUP(WEEKDAY($B26),Datenblatt!$X$33:$Z$39,3,FALSE))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45827</v>
      </c>
      <c r="C27" s="157">
        <f t="shared" si="0"/>
        <v>45827</v>
      </c>
      <c r="D27" s="158">
        <f>IF(VLOOKUP($B27,Datenblatt!$A$43:$A$65,1,1)=$B27,0,VLOOKUP(WEEKDAY($B27),Datenblatt!$X$33:$Z$39,3,FALSE))</f>
        <v>0</v>
      </c>
      <c r="E27" s="158">
        <f>IF(VLOOKUP($B27,Datenblatt!$A$43:$A$65,1,1)=$B27,0,IF(WEEKDAY($B27)=7,1,IF(WEEKDAY($B27)=1,0,2)))</f>
        <v>0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>Fronleichnam</v>
      </c>
      <c r="X27" s="402"/>
      <c r="Y27" s="403"/>
      <c r="AB27" s="171"/>
    </row>
    <row r="28" spans="2:129" ht="12.2" customHeight="1">
      <c r="B28" s="156">
        <f t="shared" si="1"/>
        <v>45828</v>
      </c>
      <c r="C28" s="157">
        <f t="shared" si="0"/>
        <v>45828</v>
      </c>
      <c r="D28" s="158">
        <f>IF(VLOOKUP($B28,Datenblatt!$A$43:$A$65,1,1)=$B28,0,VLOOKUP(WEEKDAY($B28),Datenblatt!$X$33:$Z$39,3,FALSE))</f>
        <v>8</v>
      </c>
      <c r="E28" s="158">
        <f>IF(VLOOKUP($B28,Datenblatt!$A$43:$A$65,1,1)=$B28,0,IF(WEEKDAY($B28)=7,1,IF(WEEKDAY($B28)=1,0,2)))</f>
        <v>2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45829</v>
      </c>
      <c r="C29" s="157">
        <f t="shared" si="0"/>
        <v>45829</v>
      </c>
      <c r="D29" s="158">
        <f>IF(VLOOKUP($B29,Datenblatt!$A$43:$A$65,1,1)=$B29,0,VLOOKUP(WEEKDAY($B29),Datenblatt!$X$33:$Z$39,3,FALSE))</f>
        <v>0</v>
      </c>
      <c r="E29" s="158">
        <f>IF(VLOOKUP($B29,Datenblatt!$A$43:$A$65,1,1)=$B29,0,IF(WEEKDAY($B29)=7,1,IF(WEEKDAY($B29)=1,0,2)))</f>
        <v>1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45830</v>
      </c>
      <c r="C30" s="157">
        <f t="shared" si="0"/>
        <v>45830</v>
      </c>
      <c r="D30" s="158">
        <f>IF(VLOOKUP($B30,Datenblatt!$A$43:$A$65,1,1)=$B30,0,VLOOKUP(WEEKDAY($B30),Datenblatt!$X$33:$Z$39,3,FALSE))</f>
        <v>0</v>
      </c>
      <c r="E30" s="158">
        <f>IF(VLOOKUP($B30,Datenblatt!$A$43:$A$65,1,1)=$B30,0,IF(WEEKDAY($B30)=7,1,IF(WEEKDAY($B30)=1,0,2)))</f>
        <v>0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45831</v>
      </c>
      <c r="C31" s="157">
        <f t="shared" si="0"/>
        <v>45831</v>
      </c>
      <c r="D31" s="158">
        <f>IF(VLOOKUP($B31,Datenblatt!$A$43:$A$65,1,1)=$B31,0,VLOOKUP(WEEKDAY($B31),Datenblatt!$X$33:$Z$39,3,FALSE))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45832</v>
      </c>
      <c r="C32" s="157">
        <f t="shared" si="0"/>
        <v>45832</v>
      </c>
      <c r="D32" s="158">
        <f>IF(VLOOKUP($B32,Datenblatt!$A$43:$A$65,1,1)=$B32,0,VLOOKUP(WEEKDAY($B32),Datenblatt!$X$33:$Z$39,3,FALSE))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45833</v>
      </c>
      <c r="C33" s="157">
        <f t="shared" si="0"/>
        <v>45833</v>
      </c>
      <c r="D33" s="158">
        <f>IF(VLOOKUP($B33,Datenblatt!$A$43:$A$65,1,1)=$B33,0,VLOOKUP(WEEKDAY($B33),Datenblatt!$X$33:$Z$39,3,FALSE))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45834</v>
      </c>
      <c r="C34" s="157">
        <f t="shared" si="0"/>
        <v>45834</v>
      </c>
      <c r="D34" s="158">
        <f>IF(VLOOKUP($B34,Datenblatt!$A$43:$A$65,1,1)=$B34,0,VLOOKUP(WEEKDAY($B34),Datenblatt!$X$33:$Z$39,3,FALSE))</f>
        <v>8</v>
      </c>
      <c r="E34" s="158">
        <f>IF(VLOOKUP($B34,Datenblatt!$A$43:$A$65,1,1)=$B34,0,IF(WEEKDAY($B34)=7,1,IF(WEEKDAY($B34)=1,0,2)))</f>
        <v>2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45835</v>
      </c>
      <c r="C35" s="157">
        <f t="shared" si="0"/>
        <v>45835</v>
      </c>
      <c r="D35" s="158">
        <f>IF(VLOOKUP($B35,Datenblatt!$A$43:$A$65,1,1)=$B35,0,VLOOKUP(WEEKDAY($B35),Datenblatt!$X$33:$Z$39,3,FALSE))</f>
        <v>8</v>
      </c>
      <c r="E35" s="158">
        <f>IF(VLOOKUP($B35,Datenblatt!$A$43:$A$65,1,1)=$B35,0,IF(WEEKDAY($B35)=7,1,IF(WEEKDAY($B35)=1,0,2)))</f>
        <v>2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45836</v>
      </c>
      <c r="C36" s="157">
        <f t="shared" si="0"/>
        <v>45836</v>
      </c>
      <c r="D36" s="158">
        <f>IF(VLOOKUP($B36,Datenblatt!$A$43:$A$65,1,1)=$B36,0,VLOOKUP(WEEKDAY($B36),Datenblatt!$X$33:$Z$39,3,FALSE))</f>
        <v>0</v>
      </c>
      <c r="E36" s="158">
        <f>IF(VLOOKUP($B36,Datenblatt!$A$43:$A$65,1,1)=$B36,0,IF(WEEKDAY($B36)=7,1,IF(WEEKDAY($B36)=1,0,2)))</f>
        <v>1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45837</v>
      </c>
      <c r="C37" s="157">
        <f t="shared" si="0"/>
        <v>45837</v>
      </c>
      <c r="D37" s="158">
        <f>IF(VLOOKUP($B37,Datenblatt!$A$43:$A$65,1,1)=$B37,0,VLOOKUP(WEEKDAY($B37),Datenblatt!$X$33:$Z$39,3,FALSE))</f>
        <v>0</v>
      </c>
      <c r="E37" s="158">
        <f>IF(VLOOKUP($B37,Datenblatt!$A$43:$A$65,1,1)=$B37,0,IF(WEEKDAY($B37)=7,1,IF(WEEKDAY($B37)=1,0,2)))</f>
        <v>0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45838</v>
      </c>
      <c r="C38" s="157">
        <f t="shared" si="0"/>
        <v>45838</v>
      </c>
      <c r="D38" s="158">
        <f>IF(VLOOKUP($B38,Datenblatt!$A$43:$A$65,1,1)=$B38,0,VLOOKUP(WEEKDAY($B38),Datenblatt!$X$33:$Z$39,3,FALSE))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/>
      <c r="C39" s="157"/>
      <c r="D39" s="158"/>
      <c r="E39" s="158"/>
      <c r="F39" s="198"/>
      <c r="G39" s="199"/>
      <c r="H39" s="200"/>
      <c r="I39" s="201"/>
      <c r="J39" s="200"/>
      <c r="K39" s="201"/>
      <c r="L39" s="202"/>
      <c r="M39" s="203"/>
      <c r="N39" s="204"/>
      <c r="O39" s="204"/>
      <c r="P39" s="205"/>
      <c r="Q39" s="206"/>
      <c r="R39" s="167" t="str">
        <f>IF((F39+P39+Q39=0),"",(G39-F39)-(I39-H39)-(K39-J39)-(M39-L39)+P39+Q39)</f>
        <v/>
      </c>
      <c r="S39" s="351"/>
      <c r="T39" s="168" t="str">
        <f>IF((N39+O39=0),"",(N39*0.66)+O39)</f>
        <v/>
      </c>
      <c r="U39" s="169" t="str">
        <f>IF((F39+P39+Q39=0),"",(G39-F39)-(I39-H39)-(K39-J39)-(M39-L39)+P39+Q39+(N39*0.66)+O39)</f>
        <v/>
      </c>
      <c r="V39" s="170"/>
      <c r="W39" s="421"/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19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Juni "&amp;Datenblatt!$F$5&amp;":"</f>
        <v>Sollstunden für Juni 2025:</v>
      </c>
      <c r="N41" s="66"/>
      <c r="O41" s="66"/>
      <c r="P41" s="186"/>
      <c r="R41" s="187"/>
      <c r="S41" s="187"/>
      <c r="T41" s="395">
        <f>SUM(D9:D39)</f>
        <v>152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Juni "&amp;Datenblatt!F5&amp;":   ","Zeitdefizit im Monat Juni "&amp;Datenblatt!F5&amp;":   ")</f>
        <v xml:space="preserve">Zeitdefizit im Monat Juni 2025:   </v>
      </c>
      <c r="N42" s="190"/>
      <c r="O42" s="190"/>
      <c r="R42" s="191"/>
      <c r="S42" s="191"/>
      <c r="T42" s="409">
        <f>U40-SUM(D9:D39)</f>
        <v>-152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Mai "&amp;Datenblatt!F5-1&amp;":   ","  - Zeitdefizit aus Mai "&amp;Datenblatt!F5&amp;":   ")</f>
        <v xml:space="preserve">  - Zeitdefizit aus Mai 2025:   </v>
      </c>
      <c r="T43" s="410">
        <f>Mai!T44</f>
        <v>-824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Juli "&amp;Datenblatt!F5</f>
        <v>Übertrag für Juli 2025</v>
      </c>
      <c r="R44" s="196"/>
      <c r="S44" s="196"/>
      <c r="T44" s="411">
        <f>T43+T42-I42</f>
        <v>-976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46" priority="1" stopIfTrue="1" operator="equal">
      <formula>MATCH($E15,0)</formula>
    </cfRule>
    <cfRule type="expression" dxfId="45" priority="2" stopIfTrue="1">
      <formula>"WOCHENTAG($B8)=1"</formula>
    </cfRule>
    <cfRule type="expression" dxfId="44" priority="3" stopIfTrue="1">
      <formula>"WOCHENTAG($B8)=7"</formula>
    </cfRule>
  </conditionalFormatting>
  <conditionalFormatting sqref="B9:C38">
    <cfRule type="expression" dxfId="43" priority="8" stopIfTrue="1">
      <formula>($E9=1)</formula>
    </cfRule>
  </conditionalFormatting>
  <conditionalFormatting sqref="B9:U38 W9:W38">
    <cfRule type="expression" dxfId="42" priority="4" stopIfTrue="1">
      <formula>($E9=0)</formula>
    </cfRule>
    <cfRule type="expression" dxfId="41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Y48"/>
  <sheetViews>
    <sheetView showGridLines="0" workbookViewId="0">
      <pane ySplit="8" topLeftCell="A9" activePane="bottomLeft" state="frozen"/>
      <selection activeCell="Y45" sqref="Y45"/>
      <selection pane="bottomLeft" activeCell="W10" sqref="W10:Y10"/>
    </sheetView>
  </sheetViews>
  <sheetFormatPr baseColWidth="10" defaultColWidth="11.42578125" defaultRowHeight="12.75"/>
  <cols>
    <col min="1" max="1" width="0.28515625" customWidth="1"/>
    <col min="2" max="2" width="3.42578125" customWidth="1"/>
    <col min="3" max="3" width="3.85546875" style="94" customWidth="1"/>
    <col min="4" max="4" width="6.140625" style="94" hidden="1" customWidth="1"/>
    <col min="5" max="5" width="0.28515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8" width="5.28515625" customWidth="1"/>
    <col min="19" max="19" width="5.28515625" hidden="1" customWidth="1"/>
    <col min="20" max="20" width="5.28515625" customWidth="1"/>
    <col min="21" max="21" width="8.5703125" style="123" customWidth="1"/>
    <col min="22" max="22" width="0.7109375" style="123" customWidth="1"/>
    <col min="23" max="23" width="0.28515625" style="123" customWidth="1"/>
    <col min="24" max="24" width="28.7109375" customWidth="1"/>
    <col min="25" max="25" width="28.7109375" style="124" customWidth="1"/>
    <col min="29" max="29" width="4.7109375" customWidth="1"/>
    <col min="30" max="30" width="5.28515625" customWidth="1"/>
  </cols>
  <sheetData>
    <row r="1" spans="2:129" s="125" customFormat="1" ht="3.95" customHeight="1">
      <c r="C1" s="126"/>
      <c r="D1" s="126"/>
      <c r="E1" s="126"/>
      <c r="U1" s="127"/>
      <c r="W1" s="127"/>
      <c r="Y1" s="124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</row>
    <row r="2" spans="2:129" s="125" customFormat="1" ht="15" customHeight="1">
      <c r="C2" s="128"/>
      <c r="D2" s="128"/>
      <c r="E2" s="128"/>
      <c r="G2" s="71" t="s">
        <v>101</v>
      </c>
      <c r="H2" s="129"/>
      <c r="I2" s="129"/>
      <c r="J2" s="129"/>
      <c r="L2" s="412">
        <f>DATE(Datenblatt!F5,7,1)</f>
        <v>45839</v>
      </c>
      <c r="M2" s="412"/>
      <c r="N2" s="412"/>
      <c r="O2" s="412"/>
      <c r="P2" s="412"/>
      <c r="Q2" s="130"/>
      <c r="R2" s="130"/>
      <c r="S2" s="297"/>
      <c r="T2" s="130"/>
      <c r="U2" s="113"/>
      <c r="V2" s="42"/>
      <c r="W2" s="42"/>
      <c r="X2" s="131" t="str">
        <f>Datenblatt!A2</f>
        <v>Pfarre</v>
      </c>
      <c r="Y2" s="13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</row>
    <row r="3" spans="2:129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T3" s="136"/>
      <c r="U3" s="137"/>
      <c r="V3" s="137"/>
      <c r="W3" s="137"/>
      <c r="X3" s="138" t="str">
        <f>Datenblatt!D8</f>
        <v>Kirchenmusiker</v>
      </c>
      <c r="Y3" s="124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</row>
    <row r="4" spans="2:129" s="64" customFormat="1" ht="18" customHeight="1">
      <c r="F4" s="64" t="str">
        <f>"Arbeitsstunden/Tag:  Mo: "&amp;Datenblatt!$K$46&amp;";"&amp;"    Di: "&amp;Datenblatt!$K$47&amp;";"&amp;"    Mi: "&amp;Datenblatt!$K$48&amp;";"&amp;"    Do: "&amp;Datenblatt!$K$49&amp;";"&amp;"    Fr: "&amp;Datenblatt!$K$50&amp;";"&amp;"    Sa: "&amp;Datenblatt!$K$51&amp;";"&amp;"    So: "&amp;Datenblatt!$K$52&amp;""&amp;"     -    Wochenarbeitszeit:  "&amp;Datenblatt!$K$53&amp;"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353"/>
      <c r="T4" s="139"/>
      <c r="U4" s="413">
        <f>Juni!U5+Datenblatt!K54</f>
        <v>190</v>
      </c>
      <c r="V4" s="413"/>
      <c r="W4" s="141"/>
      <c r="X4" s="142" t="str">
        <f>"Urlaubsanspruch per 01.07."&amp;Datenblatt!$F$5</f>
        <v>Urlaubsanspruch per 01.07.2025</v>
      </c>
      <c r="Y4" s="12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2:129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Kirchenmusiker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353"/>
      <c r="T5" s="139"/>
      <c r="U5" s="413">
        <f>U4-Q40</f>
        <v>190</v>
      </c>
      <c r="V5" s="413"/>
      <c r="W5" s="141"/>
      <c r="X5" s="143" t="str">
        <f>"Resturlaub per 31.07."&amp;Datenblatt!$F$5</f>
        <v>Resturlaub per 31.07.2025</v>
      </c>
      <c r="Y5" s="124" t="s">
        <v>119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2:129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X6" s="2"/>
    </row>
    <row r="7" spans="2:129" ht="14.1" customHeight="1" thickBot="1">
      <c r="B7" s="2"/>
      <c r="C7" s="66"/>
      <c r="D7" s="66"/>
      <c r="E7" s="66"/>
      <c r="F7" s="414" t="s">
        <v>102</v>
      </c>
      <c r="G7" s="414"/>
      <c r="H7" s="415" t="s">
        <v>103</v>
      </c>
      <c r="I7" s="415"/>
      <c r="J7" s="415"/>
      <c r="K7" s="415"/>
      <c r="L7" s="415"/>
      <c r="M7" s="415"/>
      <c r="N7" s="416" t="s">
        <v>104</v>
      </c>
      <c r="O7" s="416"/>
      <c r="P7" s="417" t="s">
        <v>105</v>
      </c>
      <c r="Q7" s="418" t="s">
        <v>106</v>
      </c>
      <c r="R7" s="144" t="s">
        <v>107</v>
      </c>
      <c r="S7" s="424" t="s">
        <v>191</v>
      </c>
      <c r="T7" s="396" t="s">
        <v>108</v>
      </c>
      <c r="U7" s="145" t="s">
        <v>109</v>
      </c>
      <c r="V7" s="146"/>
      <c r="W7" s="342"/>
      <c r="X7" s="390" t="s">
        <v>110</v>
      </c>
      <c r="Y7" s="392"/>
    </row>
    <row r="8" spans="2:129" ht="14.1" customHeight="1">
      <c r="B8" s="2"/>
      <c r="C8" s="66"/>
      <c r="D8" s="66"/>
      <c r="E8" s="66"/>
      <c r="F8" s="147" t="s">
        <v>111</v>
      </c>
      <c r="G8" s="148" t="s">
        <v>91</v>
      </c>
      <c r="H8" s="149" t="s">
        <v>111</v>
      </c>
      <c r="I8" s="146" t="s">
        <v>91</v>
      </c>
      <c r="J8" s="149" t="s">
        <v>111</v>
      </c>
      <c r="K8" s="146" t="s">
        <v>91</v>
      </c>
      <c r="L8" s="149" t="s">
        <v>111</v>
      </c>
      <c r="M8" s="150" t="s">
        <v>91</v>
      </c>
      <c r="N8" s="151" t="s">
        <v>190</v>
      </c>
      <c r="O8" s="151" t="s">
        <v>112</v>
      </c>
      <c r="P8" s="417"/>
      <c r="Q8" s="418"/>
      <c r="R8" s="152" t="s">
        <v>113</v>
      </c>
      <c r="S8" s="425"/>
      <c r="T8" s="397"/>
      <c r="U8" s="153" t="s">
        <v>113</v>
      </c>
      <c r="V8" s="154"/>
      <c r="W8" s="343"/>
      <c r="X8" s="391"/>
      <c r="Y8" s="393"/>
    </row>
    <row r="9" spans="2:129" s="155" customFormat="1" ht="12.2" customHeight="1">
      <c r="B9" s="156">
        <f>L2</f>
        <v>45839</v>
      </c>
      <c r="C9" s="157">
        <f t="shared" ref="C9:C39" si="0">B9</f>
        <v>45839</v>
      </c>
      <c r="D9" s="158">
        <f>IF(VLOOKUP($B9,Datenblatt!$A$43:$A$65,1,1)=$B9,0,VLOOKUP(WEEKDAY($B9),Datenblatt!$I$46:$K$52,3,FALSE))</f>
        <v>8</v>
      </c>
      <c r="E9" s="158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>IF((F9+P9+Q9=0),"",(G9-F9)-(I9-H9)-(K9-J9)-(M9-L9)+P9+Q9)</f>
        <v/>
      </c>
      <c r="S9" s="351" t="str">
        <f>IF((N9+O9=0),"",(N9*0.66))</f>
        <v/>
      </c>
      <c r="T9" s="168" t="str">
        <f>IF(U9="","",U9-R9)</f>
        <v/>
      </c>
      <c r="U9" s="169" t="str">
        <f>IF(O9="",IF((F9+P9+Q9=0),"",(G9-F9)-(I9-H9)-(K9-J9)-(M9-L9)+P9+Q9+N9*0.66),IF((F9+P9+Q9=0),"",2*(R9+S9)))</f>
        <v/>
      </c>
      <c r="V9" s="170"/>
      <c r="W9" s="398" t="str">
        <f>IF(VLOOKUP($B9,Datenblatt!$A$43:$A$66,1,1)=$B9,VLOOKUP($B9,Datenblatt!$A$43:$C$66,3,FALSE)," ")</f>
        <v xml:space="preserve"> </v>
      </c>
      <c r="X9" s="399"/>
      <c r="Y9" s="40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2:129" ht="12.2" customHeight="1">
      <c r="B10" s="156">
        <f t="shared" ref="B10:B39" si="1">B9+1</f>
        <v>45840</v>
      </c>
      <c r="C10" s="157">
        <f t="shared" si="0"/>
        <v>45840</v>
      </c>
      <c r="D10" s="158">
        <f>IF(VLOOKUP($B10,Datenblatt!$A$43:$A$65,1,1)=$B10,0,VLOOKUP(WEEKDAY($B10),Datenblatt!$I$46:$K$52,3,FALSE))</f>
        <v>8</v>
      </c>
      <c r="E10" s="158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ref="R10:R39" si="2">IF((F10+P10+Q10=0),"",(G10-F10)-(I10-H10)-(K10-J10)-(M10-L10)+P10+Q10)</f>
        <v/>
      </c>
      <c r="S10" s="351" t="str">
        <f t="shared" ref="S10:S39" si="3">IF((N10+O10=0),"",(N10*0.66))</f>
        <v/>
      </c>
      <c r="T10" s="168" t="str">
        <f t="shared" ref="T10:T39" si="4">IF(U10="","",U10-R10)</f>
        <v/>
      </c>
      <c r="U10" s="169" t="str">
        <f t="shared" ref="U10:U39" si="5">IF(O10="",IF((F10+P10+Q10=0),"",(G10-F10)-(I10-H10)-(K10-J10)-(M10-L10)+P10+Q10+N10*0.66),IF((F10+P10+Q10=0),"",2*(R10+S10)))</f>
        <v/>
      </c>
      <c r="V10" s="170"/>
      <c r="W10" s="401" t="str">
        <f>IF(VLOOKUP($B10,Datenblatt!$A$43:$A$66,1,1)=$B10,VLOOKUP($B10,Datenblatt!$A$43:$C$66,3,FALSE)," ")</f>
        <v xml:space="preserve"> </v>
      </c>
      <c r="X10" s="402"/>
      <c r="Y10" s="403"/>
    </row>
    <row r="11" spans="2:129" ht="12.2" customHeight="1">
      <c r="B11" s="156">
        <f t="shared" si="1"/>
        <v>45841</v>
      </c>
      <c r="C11" s="157">
        <f t="shared" si="0"/>
        <v>45841</v>
      </c>
      <c r="D11" s="158">
        <f>IF(VLOOKUP($B11,Datenblatt!$A$43:$A$65,1,1)=$B11,0,VLOOKUP(WEEKDAY($B11),Datenblatt!$I$46:$K$52,3,FALSE))</f>
        <v>8</v>
      </c>
      <c r="E11" s="158">
        <f>IF(VLOOKUP($B11,Datenblatt!$A$43:$A$65,1,1)=$B11,0,IF(WEEKDAY($B11)=7,1,IF(WEEKDAY($B11)=1,0,2)))</f>
        <v>2</v>
      </c>
      <c r="F11" s="159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2"/>
        <v/>
      </c>
      <c r="S11" s="351" t="str">
        <f t="shared" si="3"/>
        <v/>
      </c>
      <c r="T11" s="168" t="str">
        <f t="shared" si="4"/>
        <v/>
      </c>
      <c r="U11" s="169" t="str">
        <f t="shared" si="5"/>
        <v/>
      </c>
      <c r="V11" s="170"/>
      <c r="W11" s="401" t="str">
        <f>IF(VLOOKUP($B11,Datenblatt!$A$43:$A$66,1,1)=$B11,VLOOKUP($B11,Datenblatt!$A$43:$C$66,3,FALSE)," ")</f>
        <v xml:space="preserve"> </v>
      </c>
      <c r="X11" s="402"/>
      <c r="Y11" s="403"/>
      <c r="AB11" s="171"/>
    </row>
    <row r="12" spans="2:129" ht="12.2" customHeight="1">
      <c r="B12" s="156">
        <f t="shared" si="1"/>
        <v>45842</v>
      </c>
      <c r="C12" s="157">
        <f t="shared" si="0"/>
        <v>45842</v>
      </c>
      <c r="D12" s="158">
        <f>IF(VLOOKUP($B12,Datenblatt!$A$43:$A$65,1,1)=$B12,0,VLOOKUP(WEEKDAY($B12),Datenblatt!$I$46:$K$52,3,FALSE))</f>
        <v>8</v>
      </c>
      <c r="E12" s="158">
        <f>IF(VLOOKUP($B12,Datenblatt!$A$43:$A$65,1,1)=$B12,0,IF(WEEKDAY($B12)=7,1,IF(WEEKDAY($B12)=1,0,2)))</f>
        <v>2</v>
      </c>
      <c r="F12" s="159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2"/>
        <v/>
      </c>
      <c r="S12" s="351" t="str">
        <f t="shared" si="3"/>
        <v/>
      </c>
      <c r="T12" s="168" t="str">
        <f t="shared" si="4"/>
        <v/>
      </c>
      <c r="U12" s="169" t="str">
        <f t="shared" si="5"/>
        <v/>
      </c>
      <c r="V12" s="170"/>
      <c r="W12" s="404" t="str">
        <f>IF(VLOOKUP($B12,Datenblatt!$A$43:$A$66,1,1)=$B12,VLOOKUP($B12,Datenblatt!$A$43:$C$66,3,FALSE)," ")</f>
        <v xml:space="preserve"> </v>
      </c>
      <c r="X12" s="405"/>
      <c r="Y12" s="406"/>
      <c r="AB12" s="171"/>
    </row>
    <row r="13" spans="2:129" s="155" customFormat="1" ht="12.2" customHeight="1">
      <c r="B13" s="156">
        <f t="shared" si="1"/>
        <v>45843</v>
      </c>
      <c r="C13" s="157">
        <f t="shared" si="0"/>
        <v>45843</v>
      </c>
      <c r="D13" s="158">
        <f>IF(VLOOKUP($B13,Datenblatt!$A$43:$A$65,1,1)=$B13,0,VLOOKUP(WEEKDAY($B13),Datenblatt!$I$46:$K$52,3,FALSE))</f>
        <v>0</v>
      </c>
      <c r="E13" s="158">
        <f>IF(VLOOKUP($B13,Datenblatt!$A$43:$A$65,1,1)=$B13,0,IF(WEEKDAY($B13)=7,1,IF(WEEKDAY($B13)=1,0,2)))</f>
        <v>1</v>
      </c>
      <c r="F13" s="159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2"/>
        <v/>
      </c>
      <c r="S13" s="351" t="str">
        <f t="shared" si="3"/>
        <v/>
      </c>
      <c r="T13" s="168" t="str">
        <f t="shared" si="4"/>
        <v/>
      </c>
      <c r="U13" s="169" t="str">
        <f t="shared" si="5"/>
        <v/>
      </c>
      <c r="V13" s="170"/>
      <c r="W13" s="398" t="str">
        <f>IF(VLOOKUP($B13,Datenblatt!$A$43:$A$66,1,1)=$B13,VLOOKUP($B13,Datenblatt!$A$43:$C$66,3,FALSE)," ")</f>
        <v xml:space="preserve"> </v>
      </c>
      <c r="X13" s="399"/>
      <c r="Y13" s="400"/>
      <c r="Z13"/>
      <c r="AA13"/>
      <c r="AB13" s="171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2:129" ht="12.2" customHeight="1">
      <c r="B14" s="156">
        <f t="shared" si="1"/>
        <v>45844</v>
      </c>
      <c r="C14" s="157">
        <f t="shared" si="0"/>
        <v>45844</v>
      </c>
      <c r="D14" s="158">
        <f>IF(VLOOKUP($B14,Datenblatt!$A$43:$A$65,1,1)=$B14,0,VLOOKUP(WEEKDAY($B14),Datenblatt!$I$46:$K$52,3,FALSE))</f>
        <v>0</v>
      </c>
      <c r="E14" s="158">
        <f>IF(VLOOKUP($B14,Datenblatt!$A$43:$A$65,1,1)=$B14,0,IF(WEEKDAY($B14)=7,1,IF(WEEKDAY($B14)=1,0,2)))</f>
        <v>0</v>
      </c>
      <c r="F14" s="159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2"/>
        <v/>
      </c>
      <c r="S14" s="351" t="str">
        <f t="shared" si="3"/>
        <v/>
      </c>
      <c r="T14" s="168" t="str">
        <f t="shared" si="4"/>
        <v/>
      </c>
      <c r="U14" s="169" t="str">
        <f t="shared" si="5"/>
        <v/>
      </c>
      <c r="V14" s="170"/>
      <c r="W14" s="401" t="str">
        <f>IF(VLOOKUP($B14,Datenblatt!$A$43:$A$66,1,1)=$B14,VLOOKUP($B14,Datenblatt!$A$43:$C$66,3,FALSE)," ")</f>
        <v xml:space="preserve"> </v>
      </c>
      <c r="X14" s="402"/>
      <c r="Y14" s="403"/>
      <c r="AB14" s="171"/>
    </row>
    <row r="15" spans="2:129" ht="12.2" customHeight="1">
      <c r="B15" s="156">
        <f t="shared" si="1"/>
        <v>45845</v>
      </c>
      <c r="C15" s="157">
        <f t="shared" si="0"/>
        <v>45845</v>
      </c>
      <c r="D15" s="158">
        <f>IF(VLOOKUP($B15,Datenblatt!$A$43:$A$65,1,1)=$B15,0,VLOOKUP(WEEKDAY($B15),Datenblatt!$I$46:$K$52,3,FALSE))</f>
        <v>8</v>
      </c>
      <c r="E15" s="158">
        <f>IF(VLOOKUP($B15,Datenblatt!$A$43:$A$65,1,1)=$B15,0,IF(WEEKDAY($B15)=7,1,IF(WEEKDAY($B15)=1,0,2)))</f>
        <v>2</v>
      </c>
      <c r="F15" s="159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2"/>
        <v/>
      </c>
      <c r="S15" s="351" t="str">
        <f t="shared" si="3"/>
        <v/>
      </c>
      <c r="T15" s="168" t="str">
        <f t="shared" si="4"/>
        <v/>
      </c>
      <c r="U15" s="169" t="str">
        <f t="shared" si="5"/>
        <v/>
      </c>
      <c r="V15" s="170"/>
      <c r="W15" s="401" t="str">
        <f>IF(VLOOKUP($B15,Datenblatt!$A$43:$A$66,1,1)=$B15,VLOOKUP($B15,Datenblatt!$A$43:$C$66,3,FALSE)," ")</f>
        <v xml:space="preserve"> </v>
      </c>
      <c r="X15" s="402"/>
      <c r="Y15" s="403"/>
      <c r="AB15" s="171"/>
    </row>
    <row r="16" spans="2:129" ht="12.2" customHeight="1">
      <c r="B16" s="156">
        <f t="shared" si="1"/>
        <v>45846</v>
      </c>
      <c r="C16" s="157">
        <f t="shared" si="0"/>
        <v>45846</v>
      </c>
      <c r="D16" s="158">
        <f>IF(VLOOKUP($B16,Datenblatt!$A$43:$A$65,1,1)=$B16,0,VLOOKUP(WEEKDAY($B16),Datenblatt!$I$46:$K$52,3,FALSE))</f>
        <v>8</v>
      </c>
      <c r="E16" s="158">
        <f>IF(VLOOKUP($B16,Datenblatt!$A$43:$A$65,1,1)=$B16,0,IF(WEEKDAY($B16)=7,1,IF(WEEKDAY($B16)=1,0,2)))</f>
        <v>2</v>
      </c>
      <c r="F16" s="159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2"/>
        <v/>
      </c>
      <c r="S16" s="351" t="str">
        <f t="shared" si="3"/>
        <v/>
      </c>
      <c r="T16" s="168" t="str">
        <f t="shared" si="4"/>
        <v/>
      </c>
      <c r="U16" s="169" t="str">
        <f t="shared" si="5"/>
        <v/>
      </c>
      <c r="V16" s="170"/>
      <c r="W16" s="401" t="str">
        <f>IF(VLOOKUP($B16,Datenblatt!$A$43:$A$66,1,1)=$B16,VLOOKUP($B16,Datenblatt!$A$43:$C$66,3,FALSE)," ")</f>
        <v xml:space="preserve"> </v>
      </c>
      <c r="X16" s="402"/>
      <c r="Y16" s="403"/>
      <c r="AB16" s="171"/>
    </row>
    <row r="17" spans="2:129" ht="12.2" customHeight="1">
      <c r="B17" s="156">
        <f t="shared" si="1"/>
        <v>45847</v>
      </c>
      <c r="C17" s="157">
        <f t="shared" si="0"/>
        <v>45847</v>
      </c>
      <c r="D17" s="158">
        <f>IF(VLOOKUP($B17,Datenblatt!$A$43:$A$65,1,1)=$B17,0,VLOOKUP(WEEKDAY($B17),Datenblatt!$I$46:$K$52,3,FALSE))</f>
        <v>8</v>
      </c>
      <c r="E17" s="158">
        <f>IF(VLOOKUP($B17,Datenblatt!$A$43:$A$65,1,1)=$B17,0,IF(WEEKDAY($B17)=7,1,IF(WEEKDAY($B17)=1,0,2)))</f>
        <v>2</v>
      </c>
      <c r="F17" s="159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2"/>
        <v/>
      </c>
      <c r="S17" s="351" t="str">
        <f t="shared" si="3"/>
        <v/>
      </c>
      <c r="T17" s="168" t="str">
        <f t="shared" si="4"/>
        <v/>
      </c>
      <c r="U17" s="169" t="str">
        <f t="shared" si="5"/>
        <v/>
      </c>
      <c r="V17" s="170"/>
      <c r="W17" s="401" t="str">
        <f>IF(VLOOKUP($B17,Datenblatt!$A$43:$A$66,1,1)=$B17,VLOOKUP($B17,Datenblatt!$A$43:$C$66,3,FALSE)," ")</f>
        <v xml:space="preserve"> </v>
      </c>
      <c r="X17" s="402"/>
      <c r="Y17" s="403"/>
      <c r="AB17" s="171"/>
    </row>
    <row r="18" spans="2:129" ht="12.2" customHeight="1">
      <c r="B18" s="156">
        <f t="shared" si="1"/>
        <v>45848</v>
      </c>
      <c r="C18" s="157">
        <f t="shared" si="0"/>
        <v>45848</v>
      </c>
      <c r="D18" s="158">
        <f>IF(VLOOKUP($B18,Datenblatt!$A$43:$A$65,1,1)=$B18,0,VLOOKUP(WEEKDAY($B18),Datenblatt!$I$46:$K$52,3,FALSE))</f>
        <v>8</v>
      </c>
      <c r="E18" s="158">
        <f>IF(VLOOKUP($B18,Datenblatt!$A$43:$A$65,1,1)=$B18,0,IF(WEEKDAY($B18)=7,1,IF(WEEKDAY($B18)=1,0,2)))</f>
        <v>2</v>
      </c>
      <c r="F18" s="159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2"/>
        <v/>
      </c>
      <c r="S18" s="351" t="str">
        <f t="shared" si="3"/>
        <v/>
      </c>
      <c r="T18" s="168" t="str">
        <f t="shared" si="4"/>
        <v/>
      </c>
      <c r="U18" s="169" t="str">
        <f t="shared" si="5"/>
        <v/>
      </c>
      <c r="V18" s="170"/>
      <c r="W18" s="401" t="str">
        <f>IF(VLOOKUP($B18,Datenblatt!$A$43:$A$66,1,1)=$B18,VLOOKUP($B18,Datenblatt!$A$43:$C$66,3,FALSE)," ")</f>
        <v xml:space="preserve"> </v>
      </c>
      <c r="X18" s="402"/>
      <c r="Y18" s="403"/>
      <c r="AB18" s="171"/>
    </row>
    <row r="19" spans="2:129" ht="12.2" customHeight="1">
      <c r="B19" s="156">
        <f t="shared" si="1"/>
        <v>45849</v>
      </c>
      <c r="C19" s="157">
        <f t="shared" si="0"/>
        <v>45849</v>
      </c>
      <c r="D19" s="158">
        <f>IF(VLOOKUP($B19,Datenblatt!$A$43:$A$65,1,1)=$B19,0,VLOOKUP(WEEKDAY($B19),Datenblatt!$I$46:$K$52,3,FALSE))</f>
        <v>8</v>
      </c>
      <c r="E19" s="158">
        <f>IF(VLOOKUP($B19,Datenblatt!$A$43:$A$65,1,1)=$B19,0,IF(WEEKDAY($B19)=7,1,IF(WEEKDAY($B19)=1,0,2)))</f>
        <v>2</v>
      </c>
      <c r="F19" s="159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2"/>
        <v/>
      </c>
      <c r="S19" s="351" t="str">
        <f t="shared" si="3"/>
        <v/>
      </c>
      <c r="T19" s="168" t="str">
        <f t="shared" si="4"/>
        <v/>
      </c>
      <c r="U19" s="169" t="str">
        <f t="shared" si="5"/>
        <v/>
      </c>
      <c r="V19" s="170"/>
      <c r="W19" s="401" t="str">
        <f>IF(VLOOKUP($B19,Datenblatt!$A$43:$A$66,1,1)=$B19,VLOOKUP($B19,Datenblatt!$A$43:$C$66,3,FALSE)," ")</f>
        <v xml:space="preserve"> </v>
      </c>
      <c r="X19" s="402"/>
      <c r="Y19" s="403"/>
      <c r="AB19" s="171"/>
    </row>
    <row r="20" spans="2:129" ht="12.2" customHeight="1">
      <c r="B20" s="156">
        <f t="shared" si="1"/>
        <v>45850</v>
      </c>
      <c r="C20" s="157">
        <f t="shared" si="0"/>
        <v>45850</v>
      </c>
      <c r="D20" s="158">
        <f>IF(VLOOKUP($B20,Datenblatt!$A$43:$A$65,1,1)=$B20,0,VLOOKUP(WEEKDAY($B20),Datenblatt!$I$46:$K$52,3,FALSE))</f>
        <v>0</v>
      </c>
      <c r="E20" s="158">
        <f>IF(VLOOKUP($B20,Datenblatt!$A$43:$A$65,1,1)=$B20,0,IF(WEEKDAY($B20)=7,1,IF(WEEKDAY($B20)=1,0,2)))</f>
        <v>1</v>
      </c>
      <c r="F20" s="159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2"/>
        <v/>
      </c>
      <c r="S20" s="351" t="str">
        <f t="shared" si="3"/>
        <v/>
      </c>
      <c r="T20" s="168" t="str">
        <f t="shared" si="4"/>
        <v/>
      </c>
      <c r="U20" s="169" t="str">
        <f t="shared" si="5"/>
        <v/>
      </c>
      <c r="V20" s="170"/>
      <c r="W20" s="401" t="str">
        <f>IF(VLOOKUP($B20,Datenblatt!$A$43:$A$66,1,1)=$B20,VLOOKUP($B20,Datenblatt!$A$43:$C$66,3,FALSE)," ")</f>
        <v xml:space="preserve"> </v>
      </c>
      <c r="X20" s="402"/>
      <c r="Y20" s="403"/>
      <c r="AB20" s="171"/>
    </row>
    <row r="21" spans="2:129" ht="12.2" customHeight="1">
      <c r="B21" s="156">
        <f t="shared" si="1"/>
        <v>45851</v>
      </c>
      <c r="C21" s="157">
        <f t="shared" si="0"/>
        <v>45851</v>
      </c>
      <c r="D21" s="158">
        <f>IF(VLOOKUP($B21,Datenblatt!$A$43:$A$65,1,1)=$B21,0,VLOOKUP(WEEKDAY($B21),Datenblatt!$I$46:$K$52,3,FALSE))</f>
        <v>0</v>
      </c>
      <c r="E21" s="158">
        <f>IF(VLOOKUP($B21,Datenblatt!$A$43:$A$65,1,1)=$B21,0,IF(WEEKDAY($B21)=7,1,IF(WEEKDAY($B21)=1,0,2)))</f>
        <v>0</v>
      </c>
      <c r="F21" s="159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2"/>
        <v/>
      </c>
      <c r="S21" s="351" t="str">
        <f t="shared" si="3"/>
        <v/>
      </c>
      <c r="T21" s="168" t="str">
        <f t="shared" si="4"/>
        <v/>
      </c>
      <c r="U21" s="169" t="str">
        <f t="shared" si="5"/>
        <v/>
      </c>
      <c r="V21" s="170"/>
      <c r="W21" s="401" t="str">
        <f>IF(VLOOKUP($B21,Datenblatt!$A$43:$A$66,1,1)=$B21,VLOOKUP($B21,Datenblatt!$A$43:$C$66,3,FALSE)," ")</f>
        <v xml:space="preserve"> </v>
      </c>
      <c r="X21" s="402"/>
      <c r="Y21" s="403"/>
      <c r="AB21" s="171"/>
    </row>
    <row r="22" spans="2:129" s="172" customFormat="1" ht="12.2" customHeight="1">
      <c r="B22" s="156">
        <f t="shared" si="1"/>
        <v>45852</v>
      </c>
      <c r="C22" s="157">
        <f t="shared" si="0"/>
        <v>45852</v>
      </c>
      <c r="D22" s="158">
        <f>IF(VLOOKUP($B22,Datenblatt!$A$43:$A$65,1,1)=$B22,0,VLOOKUP(WEEKDAY($B22),Datenblatt!$I$46:$K$52,3,FALSE))</f>
        <v>8</v>
      </c>
      <c r="E22" s="158">
        <f>IF(VLOOKUP($B22,Datenblatt!$A$43:$A$65,1,1)=$B22,0,IF(WEEKDAY($B22)=7,1,IF(WEEKDAY($B22)=1,0,2)))</f>
        <v>2</v>
      </c>
      <c r="F22" s="159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2"/>
        <v/>
      </c>
      <c r="S22" s="351" t="str">
        <f t="shared" si="3"/>
        <v/>
      </c>
      <c r="T22" s="168" t="str">
        <f t="shared" si="4"/>
        <v/>
      </c>
      <c r="U22" s="169" t="str">
        <f t="shared" si="5"/>
        <v/>
      </c>
      <c r="V22" s="170"/>
      <c r="W22" s="401" t="str">
        <f>IF(VLOOKUP($B22,Datenblatt!$A$43:$A$66,1,1)=$B22,VLOOKUP($B22,Datenblatt!$A$43:$C$66,3,FALSE)," ")</f>
        <v xml:space="preserve"> </v>
      </c>
      <c r="X22" s="402"/>
      <c r="Y22" s="403"/>
      <c r="Z22"/>
      <c r="AA22"/>
      <c r="AB22" s="171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2:129" ht="12.2" customHeight="1">
      <c r="B23" s="156">
        <f t="shared" si="1"/>
        <v>45853</v>
      </c>
      <c r="C23" s="157">
        <f t="shared" si="0"/>
        <v>45853</v>
      </c>
      <c r="D23" s="158">
        <f>IF(VLOOKUP($B23,Datenblatt!$A$43:$A$65,1,1)=$B23,0,VLOOKUP(WEEKDAY($B23),Datenblatt!$I$46:$K$52,3,FALSE))</f>
        <v>8</v>
      </c>
      <c r="E23" s="158">
        <f>IF(VLOOKUP($B23,Datenblatt!$A$43:$A$65,1,1)=$B23,0,IF(WEEKDAY($B23)=7,1,IF(WEEKDAY($B23)=1,0,2)))</f>
        <v>2</v>
      </c>
      <c r="F23" s="159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2"/>
        <v/>
      </c>
      <c r="S23" s="351" t="str">
        <f t="shared" si="3"/>
        <v/>
      </c>
      <c r="T23" s="168" t="str">
        <f t="shared" si="4"/>
        <v/>
      </c>
      <c r="U23" s="169" t="str">
        <f t="shared" si="5"/>
        <v/>
      </c>
      <c r="V23" s="170"/>
      <c r="W23" s="401" t="str">
        <f>IF(VLOOKUP($B23,Datenblatt!$A$43:$A$66,1,1)=$B23,VLOOKUP($B23,Datenblatt!$A$43:$C$66,3,FALSE)," ")</f>
        <v xml:space="preserve"> </v>
      </c>
      <c r="X23" s="402"/>
      <c r="Y23" s="403"/>
      <c r="AB23" s="171"/>
    </row>
    <row r="24" spans="2:129" ht="12.2" customHeight="1">
      <c r="B24" s="156">
        <f t="shared" si="1"/>
        <v>45854</v>
      </c>
      <c r="C24" s="157">
        <f t="shared" si="0"/>
        <v>45854</v>
      </c>
      <c r="D24" s="158">
        <f>IF(VLOOKUP($B24,Datenblatt!$A$43:$A$65,1,1)=$B24,0,VLOOKUP(WEEKDAY($B24),Datenblatt!$I$46:$K$52,3,FALSE))</f>
        <v>8</v>
      </c>
      <c r="E24" s="158">
        <f>IF(VLOOKUP($B24,Datenblatt!$A$43:$A$65,1,1)=$B24,0,IF(WEEKDAY($B24)=7,1,IF(WEEKDAY($B24)=1,0,2)))</f>
        <v>2</v>
      </c>
      <c r="F24" s="159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2"/>
        <v/>
      </c>
      <c r="S24" s="351" t="str">
        <f t="shared" si="3"/>
        <v/>
      </c>
      <c r="T24" s="168" t="str">
        <f t="shared" si="4"/>
        <v/>
      </c>
      <c r="U24" s="169" t="str">
        <f t="shared" si="5"/>
        <v/>
      </c>
      <c r="V24" s="170"/>
      <c r="W24" s="401" t="str">
        <f>IF(VLOOKUP($B24,Datenblatt!$A$43:$A$66,1,1)=$B24,VLOOKUP($B24,Datenblatt!$A$43:$C$66,3,FALSE)," ")</f>
        <v xml:space="preserve"> </v>
      </c>
      <c r="X24" s="402"/>
      <c r="Y24" s="403"/>
      <c r="AB24" s="171"/>
    </row>
    <row r="25" spans="2:129" ht="12.2" customHeight="1">
      <c r="B25" s="156">
        <f t="shared" si="1"/>
        <v>45855</v>
      </c>
      <c r="C25" s="157">
        <f t="shared" si="0"/>
        <v>45855</v>
      </c>
      <c r="D25" s="158">
        <f>IF(VLOOKUP($B25,Datenblatt!$A$43:$A$65,1,1)=$B25,0,VLOOKUP(WEEKDAY($B25),Datenblatt!$I$46:$K$52,3,FALSE))</f>
        <v>8</v>
      </c>
      <c r="E25" s="158">
        <f>IF(VLOOKUP($B25,Datenblatt!$A$43:$A$65,1,1)=$B25,0,IF(WEEKDAY($B25)=7,1,IF(WEEKDAY($B25)=1,0,2)))</f>
        <v>2</v>
      </c>
      <c r="F25" s="159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2"/>
        <v/>
      </c>
      <c r="S25" s="351" t="str">
        <f t="shared" si="3"/>
        <v/>
      </c>
      <c r="T25" s="168" t="str">
        <f t="shared" si="4"/>
        <v/>
      </c>
      <c r="U25" s="169" t="str">
        <f t="shared" si="5"/>
        <v/>
      </c>
      <c r="V25" s="170"/>
      <c r="W25" s="401" t="str">
        <f>IF(VLOOKUP($B25,Datenblatt!$A$43:$A$66,1,1)=$B25,VLOOKUP($B25,Datenblatt!$A$43:$C$66,3,FALSE)," ")</f>
        <v xml:space="preserve"> </v>
      </c>
      <c r="X25" s="402"/>
      <c r="Y25" s="403"/>
      <c r="AB25" s="171"/>
    </row>
    <row r="26" spans="2:129" ht="12.2" customHeight="1">
      <c r="B26" s="156">
        <f t="shared" si="1"/>
        <v>45856</v>
      </c>
      <c r="C26" s="157">
        <f t="shared" si="0"/>
        <v>45856</v>
      </c>
      <c r="D26" s="158">
        <f>IF(VLOOKUP($B26,Datenblatt!$A$43:$A$65,1,1)=$B26,0,VLOOKUP(WEEKDAY($B26),Datenblatt!$I$46:$K$52,3,FALSE))</f>
        <v>8</v>
      </c>
      <c r="E26" s="158">
        <f>IF(VLOOKUP($B26,Datenblatt!$A$43:$A$65,1,1)=$B26,0,IF(WEEKDAY($B26)=7,1,IF(WEEKDAY($B26)=1,0,2)))</f>
        <v>2</v>
      </c>
      <c r="F26" s="159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2"/>
        <v/>
      </c>
      <c r="S26" s="351" t="str">
        <f t="shared" si="3"/>
        <v/>
      </c>
      <c r="T26" s="168" t="str">
        <f t="shared" si="4"/>
        <v/>
      </c>
      <c r="U26" s="169" t="str">
        <f t="shared" si="5"/>
        <v/>
      </c>
      <c r="V26" s="170"/>
      <c r="W26" s="401" t="str">
        <f>IF(VLOOKUP($B26,Datenblatt!$A$43:$A$66,1,1)=$B26,VLOOKUP($B26,Datenblatt!$A$43:$C$66,3,FALSE)," ")</f>
        <v xml:space="preserve"> </v>
      </c>
      <c r="X26" s="402"/>
      <c r="Y26" s="403"/>
      <c r="AB26" s="171"/>
    </row>
    <row r="27" spans="2:129" ht="12.2" customHeight="1">
      <c r="B27" s="156">
        <f t="shared" si="1"/>
        <v>45857</v>
      </c>
      <c r="C27" s="157">
        <f t="shared" si="0"/>
        <v>45857</v>
      </c>
      <c r="D27" s="158">
        <f>IF(VLOOKUP($B27,Datenblatt!$A$43:$A$65,1,1)=$B27,0,VLOOKUP(WEEKDAY($B27),Datenblatt!$I$46:$K$52,3,FALSE))</f>
        <v>0</v>
      </c>
      <c r="E27" s="158">
        <f>IF(VLOOKUP($B27,Datenblatt!$A$43:$A$65,1,1)=$B27,0,IF(WEEKDAY($B27)=7,1,IF(WEEKDAY($B27)=1,0,2)))</f>
        <v>1</v>
      </c>
      <c r="F27" s="159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2"/>
        <v/>
      </c>
      <c r="S27" s="351" t="str">
        <f t="shared" si="3"/>
        <v/>
      </c>
      <c r="T27" s="168" t="str">
        <f t="shared" si="4"/>
        <v/>
      </c>
      <c r="U27" s="169" t="str">
        <f t="shared" si="5"/>
        <v/>
      </c>
      <c r="V27" s="170"/>
      <c r="W27" s="401" t="str">
        <f>IF(VLOOKUP($B27,Datenblatt!$A$43:$A$66,1,1)=$B27,VLOOKUP($B27,Datenblatt!$A$43:$C$66,3,FALSE)," ")</f>
        <v xml:space="preserve"> </v>
      </c>
      <c r="X27" s="402"/>
      <c r="Y27" s="403"/>
      <c r="AB27" s="171"/>
    </row>
    <row r="28" spans="2:129" ht="12.2" customHeight="1">
      <c r="B28" s="156">
        <f t="shared" si="1"/>
        <v>45858</v>
      </c>
      <c r="C28" s="157">
        <f t="shared" si="0"/>
        <v>45858</v>
      </c>
      <c r="D28" s="158">
        <f>IF(VLOOKUP($B28,Datenblatt!$A$43:$A$65,1,1)=$B28,0,VLOOKUP(WEEKDAY($B28),Datenblatt!$I$46:$K$52,3,FALSE))</f>
        <v>0</v>
      </c>
      <c r="E28" s="158">
        <f>IF(VLOOKUP($B28,Datenblatt!$A$43:$A$65,1,1)=$B28,0,IF(WEEKDAY($B28)=7,1,IF(WEEKDAY($B28)=1,0,2)))</f>
        <v>0</v>
      </c>
      <c r="F28" s="159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2"/>
        <v/>
      </c>
      <c r="S28" s="351" t="str">
        <f t="shared" si="3"/>
        <v/>
      </c>
      <c r="T28" s="168" t="str">
        <f t="shared" si="4"/>
        <v/>
      </c>
      <c r="U28" s="169" t="str">
        <f t="shared" si="5"/>
        <v/>
      </c>
      <c r="V28" s="170"/>
      <c r="W28" s="401" t="str">
        <f>IF(VLOOKUP($B28,Datenblatt!$A$43:$A$66,1,1)=$B28,VLOOKUP($B28,Datenblatt!$A$43:$C$66,3,FALSE)," ")</f>
        <v xml:space="preserve"> </v>
      </c>
      <c r="X28" s="402"/>
      <c r="Y28" s="403"/>
      <c r="AB28" s="171"/>
    </row>
    <row r="29" spans="2:129" ht="12.2" customHeight="1">
      <c r="B29" s="156">
        <f t="shared" si="1"/>
        <v>45859</v>
      </c>
      <c r="C29" s="157">
        <f t="shared" si="0"/>
        <v>45859</v>
      </c>
      <c r="D29" s="158">
        <f>IF(VLOOKUP($B29,Datenblatt!$A$43:$A$65,1,1)=$B29,0,VLOOKUP(WEEKDAY($B29),Datenblatt!$I$46:$K$52,3,FALSE))</f>
        <v>8</v>
      </c>
      <c r="E29" s="158">
        <f>IF(VLOOKUP($B29,Datenblatt!$A$43:$A$65,1,1)=$B29,0,IF(WEEKDAY($B29)=7,1,IF(WEEKDAY($B29)=1,0,2)))</f>
        <v>2</v>
      </c>
      <c r="F29" s="159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2"/>
        <v/>
      </c>
      <c r="S29" s="351" t="str">
        <f t="shared" si="3"/>
        <v/>
      </c>
      <c r="T29" s="168" t="str">
        <f t="shared" si="4"/>
        <v/>
      </c>
      <c r="U29" s="169" t="str">
        <f t="shared" si="5"/>
        <v/>
      </c>
      <c r="V29" s="170"/>
      <c r="W29" s="401" t="str">
        <f>IF(VLOOKUP($B29,Datenblatt!$A$43:$A$66,1,1)=$B29,VLOOKUP($B29,Datenblatt!$A$43:$C$66,3,FALSE)," ")</f>
        <v xml:space="preserve"> </v>
      </c>
      <c r="X29" s="402"/>
      <c r="Y29" s="403"/>
      <c r="AB29" s="171"/>
    </row>
    <row r="30" spans="2:129" ht="12.2" customHeight="1">
      <c r="B30" s="156">
        <f t="shared" si="1"/>
        <v>45860</v>
      </c>
      <c r="C30" s="157">
        <f t="shared" si="0"/>
        <v>45860</v>
      </c>
      <c r="D30" s="158">
        <f>IF(VLOOKUP($B30,Datenblatt!$A$43:$A$65,1,1)=$B30,0,VLOOKUP(WEEKDAY($B30),Datenblatt!$I$46:$K$52,3,FALSE))</f>
        <v>8</v>
      </c>
      <c r="E30" s="158">
        <f>IF(VLOOKUP($B30,Datenblatt!$A$43:$A$65,1,1)=$B30,0,IF(WEEKDAY($B30)=7,1,IF(WEEKDAY($B30)=1,0,2)))</f>
        <v>2</v>
      </c>
      <c r="F30" s="159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2"/>
        <v/>
      </c>
      <c r="S30" s="351" t="str">
        <f t="shared" si="3"/>
        <v/>
      </c>
      <c r="T30" s="168" t="str">
        <f t="shared" si="4"/>
        <v/>
      </c>
      <c r="U30" s="169" t="str">
        <f t="shared" si="5"/>
        <v/>
      </c>
      <c r="V30" s="170"/>
      <c r="W30" s="401" t="str">
        <f>IF(VLOOKUP($B30,Datenblatt!$A$43:$A$66,1,1)=$B30,VLOOKUP($B30,Datenblatt!$A$43:$C$66,3,FALSE)," ")</f>
        <v xml:space="preserve"> </v>
      </c>
      <c r="X30" s="402"/>
      <c r="Y30" s="403"/>
      <c r="AB30" s="171"/>
    </row>
    <row r="31" spans="2:129" ht="12.2" customHeight="1">
      <c r="B31" s="156">
        <f t="shared" si="1"/>
        <v>45861</v>
      </c>
      <c r="C31" s="157">
        <f t="shared" si="0"/>
        <v>45861</v>
      </c>
      <c r="D31" s="158">
        <f>IF(VLOOKUP($B31,Datenblatt!$A$43:$A$65,1,1)=$B31,0,VLOOKUP(WEEKDAY($B31),Datenblatt!$I$46:$K$52,3,FALSE))</f>
        <v>8</v>
      </c>
      <c r="E31" s="158">
        <f>IF(VLOOKUP($B31,Datenblatt!$A$43:$A$65,1,1)=$B31,0,IF(WEEKDAY($B31)=7,1,IF(WEEKDAY($B31)=1,0,2)))</f>
        <v>2</v>
      </c>
      <c r="F31" s="159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2"/>
        <v/>
      </c>
      <c r="S31" s="351" t="str">
        <f t="shared" si="3"/>
        <v/>
      </c>
      <c r="T31" s="168" t="str">
        <f t="shared" si="4"/>
        <v/>
      </c>
      <c r="U31" s="169" t="str">
        <f t="shared" si="5"/>
        <v/>
      </c>
      <c r="V31" s="170"/>
      <c r="W31" s="401" t="str">
        <f>IF(VLOOKUP($B31,Datenblatt!$A$43:$A$66,1,1)=$B31,VLOOKUP($B31,Datenblatt!$A$43:$C$66,3,FALSE)," ")</f>
        <v xml:space="preserve"> </v>
      </c>
      <c r="X31" s="402"/>
      <c r="Y31" s="403"/>
      <c r="AB31" s="171"/>
    </row>
    <row r="32" spans="2:129" ht="12.2" customHeight="1">
      <c r="B32" s="156">
        <f t="shared" si="1"/>
        <v>45862</v>
      </c>
      <c r="C32" s="157">
        <f t="shared" si="0"/>
        <v>45862</v>
      </c>
      <c r="D32" s="158">
        <f>IF(VLOOKUP($B32,Datenblatt!$A$43:$A$65,1,1)=$B32,0,VLOOKUP(WEEKDAY($B32),Datenblatt!$I$46:$K$52,3,FALSE))</f>
        <v>8</v>
      </c>
      <c r="E32" s="158">
        <f>IF(VLOOKUP($B32,Datenblatt!$A$43:$A$65,1,1)=$B32,0,IF(WEEKDAY($B32)=7,1,IF(WEEKDAY($B32)=1,0,2)))</f>
        <v>2</v>
      </c>
      <c r="F32" s="159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2"/>
        <v/>
      </c>
      <c r="S32" s="351" t="str">
        <f t="shared" si="3"/>
        <v/>
      </c>
      <c r="T32" s="168" t="str">
        <f t="shared" si="4"/>
        <v/>
      </c>
      <c r="U32" s="169" t="str">
        <f t="shared" si="5"/>
        <v/>
      </c>
      <c r="V32" s="170"/>
      <c r="W32" s="401" t="str">
        <f>IF(VLOOKUP($B32,Datenblatt!$A$43:$A$66,1,1)=$B32,VLOOKUP($B32,Datenblatt!$A$43:$C$66,3,FALSE)," ")</f>
        <v xml:space="preserve"> </v>
      </c>
      <c r="X32" s="402"/>
      <c r="Y32" s="403"/>
      <c r="AB32" s="171"/>
    </row>
    <row r="33" spans="2:129" ht="12.2" customHeight="1">
      <c r="B33" s="156">
        <f t="shared" si="1"/>
        <v>45863</v>
      </c>
      <c r="C33" s="157">
        <f t="shared" si="0"/>
        <v>45863</v>
      </c>
      <c r="D33" s="158">
        <f>IF(VLOOKUP($B33,Datenblatt!$A$43:$A$65,1,1)=$B33,0,VLOOKUP(WEEKDAY($B33),Datenblatt!$I$46:$K$52,3,FALSE))</f>
        <v>8</v>
      </c>
      <c r="E33" s="158">
        <f>IF(VLOOKUP($B33,Datenblatt!$A$43:$A$65,1,1)=$B33,0,IF(WEEKDAY($B33)=7,1,IF(WEEKDAY($B33)=1,0,2)))</f>
        <v>2</v>
      </c>
      <c r="F33" s="159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2"/>
        <v/>
      </c>
      <c r="S33" s="351" t="str">
        <f t="shared" si="3"/>
        <v/>
      </c>
      <c r="T33" s="168" t="str">
        <f t="shared" si="4"/>
        <v/>
      </c>
      <c r="U33" s="169" t="str">
        <f t="shared" si="5"/>
        <v/>
      </c>
      <c r="V33" s="170"/>
      <c r="W33" s="401" t="str">
        <f>IF(VLOOKUP($B33,Datenblatt!$A$43:$A$66,1,1)=$B33,VLOOKUP($B33,Datenblatt!$A$43:$C$66,3,FALSE)," ")</f>
        <v xml:space="preserve"> </v>
      </c>
      <c r="X33" s="402"/>
      <c r="Y33" s="403"/>
      <c r="AB33" s="171"/>
    </row>
    <row r="34" spans="2:129" ht="12.2" customHeight="1">
      <c r="B34" s="156">
        <f t="shared" si="1"/>
        <v>45864</v>
      </c>
      <c r="C34" s="157">
        <f t="shared" si="0"/>
        <v>45864</v>
      </c>
      <c r="D34" s="158">
        <f>IF(VLOOKUP($B34,Datenblatt!$A$43:$A$65,1,1)=$B34,0,VLOOKUP(WEEKDAY($B34),Datenblatt!$I$46:$K$52,3,FALSE))</f>
        <v>0</v>
      </c>
      <c r="E34" s="158">
        <f>IF(VLOOKUP($B34,Datenblatt!$A$43:$A$65,1,1)=$B34,0,IF(WEEKDAY($B34)=7,1,IF(WEEKDAY($B34)=1,0,2)))</f>
        <v>1</v>
      </c>
      <c r="F34" s="159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2"/>
        <v/>
      </c>
      <c r="S34" s="351" t="str">
        <f t="shared" si="3"/>
        <v/>
      </c>
      <c r="T34" s="168" t="str">
        <f t="shared" si="4"/>
        <v/>
      </c>
      <c r="U34" s="169" t="str">
        <f t="shared" si="5"/>
        <v/>
      </c>
      <c r="V34" s="170"/>
      <c r="W34" s="401" t="str">
        <f>IF(VLOOKUP($B34,Datenblatt!$A$43:$A$66,1,1)=$B34,VLOOKUP($B34,Datenblatt!$A$43:$C$66,3,FALSE)," ")</f>
        <v xml:space="preserve"> </v>
      </c>
      <c r="X34" s="402"/>
      <c r="Y34" s="403"/>
      <c r="AB34" s="171"/>
    </row>
    <row r="35" spans="2:129" ht="12.2" customHeight="1">
      <c r="B35" s="156">
        <f t="shared" si="1"/>
        <v>45865</v>
      </c>
      <c r="C35" s="157">
        <f t="shared" si="0"/>
        <v>45865</v>
      </c>
      <c r="D35" s="158">
        <f>IF(VLOOKUP($B35,Datenblatt!$A$43:$A$65,1,1)=$B35,0,VLOOKUP(WEEKDAY($B35),Datenblatt!$I$46:$K$52,3,FALSE))</f>
        <v>0</v>
      </c>
      <c r="E35" s="158">
        <f>IF(VLOOKUP($B35,Datenblatt!$A$43:$A$65,1,1)=$B35,0,IF(WEEKDAY($B35)=7,1,IF(WEEKDAY($B35)=1,0,2)))</f>
        <v>0</v>
      </c>
      <c r="F35" s="159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2"/>
        <v/>
      </c>
      <c r="S35" s="351" t="str">
        <f t="shared" si="3"/>
        <v/>
      </c>
      <c r="T35" s="168" t="str">
        <f t="shared" si="4"/>
        <v/>
      </c>
      <c r="U35" s="169" t="str">
        <f t="shared" si="5"/>
        <v/>
      </c>
      <c r="V35" s="170"/>
      <c r="W35" s="401" t="str">
        <f>IF(VLOOKUP($B35,Datenblatt!$A$43:$A$66,1,1)=$B35,VLOOKUP($B35,Datenblatt!$A$43:$C$66,3,FALSE)," ")</f>
        <v xml:space="preserve"> </v>
      </c>
      <c r="X35" s="402"/>
      <c r="Y35" s="403"/>
      <c r="AB35" s="171"/>
    </row>
    <row r="36" spans="2:129" ht="12.2" customHeight="1">
      <c r="B36" s="156">
        <f t="shared" si="1"/>
        <v>45866</v>
      </c>
      <c r="C36" s="157">
        <f t="shared" si="0"/>
        <v>45866</v>
      </c>
      <c r="D36" s="158">
        <f>IF(VLOOKUP($B36,Datenblatt!$A$43:$A$65,1,1)=$B36,0,VLOOKUP(WEEKDAY($B36),Datenblatt!$I$46:$K$52,3,FALSE))</f>
        <v>8</v>
      </c>
      <c r="E36" s="158">
        <f>IF(VLOOKUP($B36,Datenblatt!$A$43:$A$65,1,1)=$B36,0,IF(WEEKDAY($B36)=7,1,IF(WEEKDAY($B36)=1,0,2)))</f>
        <v>2</v>
      </c>
      <c r="F36" s="159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2"/>
        <v/>
      </c>
      <c r="S36" s="351" t="str">
        <f t="shared" si="3"/>
        <v/>
      </c>
      <c r="T36" s="168" t="str">
        <f t="shared" si="4"/>
        <v/>
      </c>
      <c r="U36" s="169" t="str">
        <f t="shared" si="5"/>
        <v/>
      </c>
      <c r="V36" s="170"/>
      <c r="W36" s="401" t="str">
        <f>IF(VLOOKUP($B36,Datenblatt!$A$43:$A$66,1,1)=$B36,VLOOKUP($B36,Datenblatt!$A$43:$C$66,3,FALSE)," ")</f>
        <v xml:space="preserve"> </v>
      </c>
      <c r="X36" s="402"/>
      <c r="Y36" s="403"/>
      <c r="AB36" s="171"/>
    </row>
    <row r="37" spans="2:129" ht="12.2" customHeight="1">
      <c r="B37" s="156">
        <f t="shared" si="1"/>
        <v>45867</v>
      </c>
      <c r="C37" s="157">
        <f t="shared" si="0"/>
        <v>45867</v>
      </c>
      <c r="D37" s="158">
        <f>IF(VLOOKUP($B37,Datenblatt!$A$43:$A$65,1,1)=$B37,0,VLOOKUP(WEEKDAY($B37),Datenblatt!$I$46:$K$52,3,FALSE))</f>
        <v>8</v>
      </c>
      <c r="E37" s="158">
        <f>IF(VLOOKUP($B37,Datenblatt!$A$43:$A$65,1,1)=$B37,0,IF(WEEKDAY($B37)=7,1,IF(WEEKDAY($B37)=1,0,2)))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2"/>
        <v/>
      </c>
      <c r="S37" s="351" t="str">
        <f t="shared" si="3"/>
        <v/>
      </c>
      <c r="T37" s="168" t="str">
        <f t="shared" si="4"/>
        <v/>
      </c>
      <c r="U37" s="169" t="str">
        <f t="shared" si="5"/>
        <v/>
      </c>
      <c r="V37" s="170"/>
      <c r="W37" s="401" t="str">
        <f>IF(VLOOKUP($B37,Datenblatt!$A$43:$A$66,1,1)=$B37,VLOOKUP($B37,Datenblatt!$A$43:$C$66,3,FALSE)," ")</f>
        <v xml:space="preserve"> </v>
      </c>
      <c r="X37" s="402"/>
      <c r="Y37" s="403"/>
      <c r="AB37" s="171"/>
    </row>
    <row r="38" spans="2:129" ht="12.2" customHeight="1">
      <c r="B38" s="156">
        <f t="shared" si="1"/>
        <v>45868</v>
      </c>
      <c r="C38" s="157">
        <f t="shared" si="0"/>
        <v>45868</v>
      </c>
      <c r="D38" s="158">
        <f>IF(VLOOKUP($B38,Datenblatt!$A$43:$A$65,1,1)=$B38,0,VLOOKUP(WEEKDAY($B38),Datenblatt!$I$46:$K$52,3,FALSE))</f>
        <v>8</v>
      </c>
      <c r="E38" s="158">
        <f>IF(VLOOKUP($B38,Datenblatt!$A$43:$A$65,1,1)=$B38,0,IF(WEEKDAY($B38)=7,1,IF(WEEKDAY($B38)=1,0,2)))</f>
        <v>2</v>
      </c>
      <c r="F38" s="159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2"/>
        <v/>
      </c>
      <c r="S38" s="351" t="str">
        <f t="shared" si="3"/>
        <v/>
      </c>
      <c r="T38" s="168" t="str">
        <f t="shared" si="4"/>
        <v/>
      </c>
      <c r="U38" s="169" t="str">
        <f t="shared" si="5"/>
        <v/>
      </c>
      <c r="V38" s="170"/>
      <c r="W38" s="401" t="str">
        <f>IF(VLOOKUP($B38,Datenblatt!$A$43:$A$66,1,1)=$B38,VLOOKUP($B38,Datenblatt!$A$43:$C$66,3,FALSE)," ")</f>
        <v xml:space="preserve"> </v>
      </c>
      <c r="X38" s="402"/>
      <c r="Y38" s="403"/>
      <c r="AB38" s="171"/>
    </row>
    <row r="39" spans="2:129" ht="12.2" customHeight="1" thickBot="1">
      <c r="B39" s="156">
        <f t="shared" si="1"/>
        <v>45869</v>
      </c>
      <c r="C39" s="157">
        <f t="shared" si="0"/>
        <v>45869</v>
      </c>
      <c r="D39" s="158">
        <f>IF(VLOOKUP($B39,Datenblatt!$A$43:$A$65,1,1)=$B39,0,VLOOKUP(WEEKDAY($B39),Datenblatt!$I$46:$K$52,3,FALSE))</f>
        <v>8</v>
      </c>
      <c r="E39" s="158">
        <f>IF(VLOOKUP($B39,Datenblatt!$A$43:$A$65,1,1)=$B39,0,IF(WEEKDAY($B39)=7,1,IF(WEEKDAY($B39)=1,0,2)))</f>
        <v>2</v>
      </c>
      <c r="F39" s="159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2"/>
        <v/>
      </c>
      <c r="S39" s="351" t="str">
        <f t="shared" si="3"/>
        <v/>
      </c>
      <c r="T39" s="168" t="str">
        <f t="shared" si="4"/>
        <v/>
      </c>
      <c r="U39" s="169" t="str">
        <f t="shared" si="5"/>
        <v/>
      </c>
      <c r="V39" s="170"/>
      <c r="W39" s="421" t="str">
        <f>IF(VLOOKUP($B39,Datenblatt!$A$43:$A$66,1,1)=$B39,VLOOKUP($B39,Datenblatt!$A$43:$C$66,3,FALSE)," ")</f>
        <v xml:space="preserve"> </v>
      </c>
      <c r="X39" s="422"/>
      <c r="Y39" s="423"/>
      <c r="AB39" s="171"/>
    </row>
    <row r="40" spans="2:129" s="113" customFormat="1" ht="15" customHeight="1" thickBot="1">
      <c r="B40" s="173" t="s">
        <v>114</v>
      </c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N40" s="175"/>
      <c r="O40" s="175"/>
      <c r="P40" s="176">
        <f t="shared" ref="P40:U40" si="6">SUM(P9:P39)</f>
        <v>0</v>
      </c>
      <c r="Q40" s="177">
        <f t="shared" si="6"/>
        <v>0</v>
      </c>
      <c r="R40" s="178">
        <f t="shared" si="6"/>
        <v>0</v>
      </c>
      <c r="S40" s="352">
        <f t="shared" si="6"/>
        <v>0</v>
      </c>
      <c r="T40" s="179">
        <f t="shared" si="6"/>
        <v>0</v>
      </c>
      <c r="U40" s="180">
        <f t="shared" si="6"/>
        <v>0</v>
      </c>
      <c r="V40" s="181"/>
      <c r="W40" s="181"/>
      <c r="X40" s="394"/>
      <c r="Y40" s="394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2:129" s="2" customFormat="1" ht="15" customHeight="1">
      <c r="B41" s="182" t="str">
        <f>" "&amp;COUNTIF($D$9:$D$39,"&gt;0")&amp;"  Arbeitstage in diesem Monat"</f>
        <v xml:space="preserve"> 23  Arbeitstage in diesem Monat</v>
      </c>
      <c r="C41" s="182"/>
      <c r="D41" s="207"/>
      <c r="E41" s="207"/>
      <c r="F41" s="207"/>
      <c r="G41" s="208"/>
      <c r="H41" s="207"/>
      <c r="I41" s="66"/>
      <c r="J41" s="66"/>
      <c r="K41" s="66"/>
      <c r="L41" s="66"/>
      <c r="M41" s="24" t="str">
        <f>"Sollstunden für Juli "&amp;Datenblatt!$F$5&amp;":"</f>
        <v>Sollstunden für Juli 2025:</v>
      </c>
      <c r="N41" s="66"/>
      <c r="O41" s="66"/>
      <c r="P41" s="186"/>
      <c r="R41" s="187"/>
      <c r="S41" s="187"/>
      <c r="T41" s="395">
        <f>SUM(D9:D39)</f>
        <v>184</v>
      </c>
      <c r="U41" s="395"/>
      <c r="V41" s="188"/>
      <c r="W41" s="188"/>
      <c r="X41" s="189"/>
      <c r="Y41" s="124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2:129" s="113" customFormat="1" ht="20.100000000000001" customHeight="1">
      <c r="B42" s="2" t="s">
        <v>115</v>
      </c>
      <c r="C42" s="66"/>
      <c r="D42" s="66"/>
      <c r="E42" s="66"/>
      <c r="F42" s="2"/>
      <c r="G42" s="2"/>
      <c r="H42" s="2"/>
      <c r="I42" s="408">
        <v>0</v>
      </c>
      <c r="J42" s="408"/>
      <c r="K42" s="190"/>
      <c r="M42" s="190" t="str">
        <f>IF(T42&gt;=0,"Zeitguthaben im Monat Juli "&amp;Datenblatt!F5&amp;":   ","Zeitdefizit im Monat Juli "&amp;Datenblatt!F5&amp;":   ")</f>
        <v xml:space="preserve">Zeitdefizit im Monat Juli 2025:   </v>
      </c>
      <c r="N42" s="190"/>
      <c r="O42" s="190"/>
      <c r="R42" s="191"/>
      <c r="S42" s="191"/>
      <c r="T42" s="409">
        <f>U40-SUM(D9:D39)</f>
        <v>-184</v>
      </c>
      <c r="U42" s="409"/>
      <c r="V42" s="192"/>
      <c r="W42" s="192"/>
      <c r="X42" s="375"/>
      <c r="Y42" s="376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2:129" s="2" customFormat="1">
      <c r="B43" s="2" t="s">
        <v>116</v>
      </c>
      <c r="C43" s="66"/>
      <c r="D43" s="66"/>
      <c r="E43" s="66"/>
      <c r="I43" s="193"/>
      <c r="M43" s="2" t="str">
        <f>IF(T43&gt;=0,"  + Zeitguthaben aus Juni "&amp;Datenblatt!F5-1&amp;":   ","  - Zeitdefizit aus Juni "&amp;Datenblatt!F5&amp;":   ")</f>
        <v xml:space="preserve">  - Zeitdefizit aus Juni 2025:   </v>
      </c>
      <c r="T43" s="410">
        <f>Juni!T44</f>
        <v>-976</v>
      </c>
      <c r="U43" s="410"/>
      <c r="V43" s="194"/>
      <c r="W43" s="194"/>
      <c r="X43" s="377"/>
      <c r="Y43" s="378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2:129" s="2" customFormat="1">
      <c r="B44" s="2" t="s">
        <v>117</v>
      </c>
      <c r="D44" s="66"/>
      <c r="E44" s="66"/>
      <c r="H44" s="195"/>
      <c r="J44" s="24"/>
      <c r="M44" s="190" t="str">
        <f>"Übertrag für August "&amp;Datenblatt!F5</f>
        <v>Übertrag für August 2025</v>
      </c>
      <c r="R44" s="196"/>
      <c r="S44" s="196"/>
      <c r="T44" s="411">
        <f>T43+T42-I42</f>
        <v>-1160</v>
      </c>
      <c r="U44" s="411"/>
      <c r="V44" s="192"/>
      <c r="W44" s="192"/>
      <c r="X44" s="379"/>
      <c r="Y44" s="378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2:129" ht="12.75" customHeight="1">
      <c r="B45" s="197" t="s">
        <v>118</v>
      </c>
      <c r="C45" s="197"/>
      <c r="D45" s="197"/>
      <c r="E45" s="197"/>
      <c r="F45" s="197"/>
      <c r="G45" s="407">
        <f ca="1">TODAY()</f>
        <v>45674</v>
      </c>
      <c r="H45" s="407"/>
      <c r="I45" s="407"/>
      <c r="U45"/>
      <c r="V45"/>
      <c r="W45"/>
      <c r="X45" s="380"/>
      <c r="Y45" s="380"/>
    </row>
    <row r="46" spans="2:129">
      <c r="C46"/>
      <c r="D46"/>
      <c r="E46"/>
      <c r="U46"/>
      <c r="V46"/>
      <c r="W46"/>
      <c r="X46" s="381" t="str">
        <f>Datenblatt!D7</f>
        <v>Vorname Familienname</v>
      </c>
      <c r="Y46" s="381" t="str">
        <f>Datenblatt!D39</f>
        <v>Name des Vorgesetzten</v>
      </c>
    </row>
    <row r="47" spans="2:129">
      <c r="C47"/>
      <c r="D47"/>
      <c r="E47"/>
      <c r="U47"/>
      <c r="V47"/>
      <c r="W47"/>
      <c r="Y47"/>
    </row>
    <row r="48" spans="2:129">
      <c r="C48"/>
      <c r="D48"/>
      <c r="E48"/>
      <c r="U48"/>
      <c r="V48"/>
      <c r="W48"/>
      <c r="Y48"/>
    </row>
  </sheetData>
  <sheetProtection sheet="1" objects="1" scenarios="1" selectLockedCells="1"/>
  <mergeCells count="50">
    <mergeCell ref="W36:Y36"/>
    <mergeCell ref="W37:Y37"/>
    <mergeCell ref="W38:Y38"/>
    <mergeCell ref="W39:Y39"/>
    <mergeCell ref="W31:Y31"/>
    <mergeCell ref="W32:Y32"/>
    <mergeCell ref="W33:Y33"/>
    <mergeCell ref="W34:Y34"/>
    <mergeCell ref="W35:Y35"/>
    <mergeCell ref="W26:Y26"/>
    <mergeCell ref="W27:Y27"/>
    <mergeCell ref="W28:Y28"/>
    <mergeCell ref="W29:Y29"/>
    <mergeCell ref="W30:Y30"/>
    <mergeCell ref="W21:Y21"/>
    <mergeCell ref="W22:Y22"/>
    <mergeCell ref="W23:Y23"/>
    <mergeCell ref="W24:Y24"/>
    <mergeCell ref="W25:Y25"/>
    <mergeCell ref="W16:Y16"/>
    <mergeCell ref="W17:Y17"/>
    <mergeCell ref="W18:Y18"/>
    <mergeCell ref="W19:Y19"/>
    <mergeCell ref="W20:Y20"/>
    <mergeCell ref="L2:P2"/>
    <mergeCell ref="U4:V4"/>
    <mergeCell ref="U5:V5"/>
    <mergeCell ref="F7:G7"/>
    <mergeCell ref="H7:M7"/>
    <mergeCell ref="N7:O7"/>
    <mergeCell ref="P7:P8"/>
    <mergeCell ref="Q7:Q8"/>
    <mergeCell ref="T7:T8"/>
    <mergeCell ref="S7:S8"/>
    <mergeCell ref="X7:X8"/>
    <mergeCell ref="Y7:Y8"/>
    <mergeCell ref="X40:Y40"/>
    <mergeCell ref="T41:U41"/>
    <mergeCell ref="G45:I45"/>
    <mergeCell ref="I42:J42"/>
    <mergeCell ref="T42:U42"/>
    <mergeCell ref="T43:U43"/>
    <mergeCell ref="T44:U44"/>
    <mergeCell ref="W9:Y9"/>
    <mergeCell ref="W10:Y10"/>
    <mergeCell ref="W11:Y11"/>
    <mergeCell ref="W12:Y12"/>
    <mergeCell ref="W13:Y13"/>
    <mergeCell ref="W14:Y14"/>
    <mergeCell ref="W15:Y15"/>
  </mergeCells>
  <phoneticPr fontId="2" type="noConversion"/>
  <conditionalFormatting sqref="A15 DZ15:IV15">
    <cfRule type="cellIs" dxfId="40" priority="1" stopIfTrue="1" operator="equal">
      <formula>MATCH($E15,0)</formula>
    </cfRule>
    <cfRule type="expression" dxfId="39" priority="2" stopIfTrue="1">
      <formula>"WOCHENTAG($B8)=1"</formula>
    </cfRule>
    <cfRule type="expression" dxfId="38" priority="3" stopIfTrue="1">
      <formula>"WOCHENTAG($B8)=7"</formula>
    </cfRule>
  </conditionalFormatting>
  <conditionalFormatting sqref="B9:C39">
    <cfRule type="expression" dxfId="37" priority="8" stopIfTrue="1">
      <formula>($E9=1)</formula>
    </cfRule>
  </conditionalFormatting>
  <conditionalFormatting sqref="B9:U39 W9:W39">
    <cfRule type="expression" dxfId="36" priority="4" stopIfTrue="1">
      <formula>($E9=0)</formula>
    </cfRule>
    <cfRule type="expression" dxfId="35" priority="5" stopIfTrue="1">
      <formula>($D9="Ersatzsonntag")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W9:Y3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Datenblatt</vt:lpstr>
      <vt:lpstr>Urlaubsmeldung</vt:lpstr>
      <vt:lpstr>Jän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REISERECHNUNG</vt:lpstr>
      <vt:lpstr>Jahresübersicht</vt:lpstr>
      <vt:lpstr>REISERECHNUNG!Druckbereich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Stabentheiner</dc:creator>
  <cp:lastModifiedBy>Dagmar Tusch</cp:lastModifiedBy>
  <cp:lastPrinted>2021-12-10T09:55:06Z</cp:lastPrinted>
  <dcterms:created xsi:type="dcterms:W3CDTF">2011-11-07T11:51:46Z</dcterms:created>
  <dcterms:modified xsi:type="dcterms:W3CDTF">2025-01-17T09:01:00Z</dcterms:modified>
</cp:coreProperties>
</file>